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activeX/activeX2.xml" ContentType="application/vnd.ms-office.activeX+xml"/>
  <Override PartName="/xl/activeX/activeX2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LENOVO\Documents\INFORMATIKA 1\MODIFIKASI\"/>
    </mc:Choice>
  </mc:AlternateContent>
  <xr:revisionPtr revIDLastSave="0" documentId="8_{B536E40C-1A8F-440F-9CD9-B6D5BE258A60}" xr6:coauthVersionLast="47" xr6:coauthVersionMax="47" xr10:uidLastSave="{00000000-0000-0000-0000-000000000000}"/>
  <bookViews>
    <workbookView xWindow="-120" yWindow="-120" windowWidth="21840" windowHeight="13140" tabRatio="558" firstSheet="1" activeTab="1" xr2:uid="{7724D24C-F562-4596-9DB3-330C796F68AD}"/>
  </bookViews>
  <sheets>
    <sheet name="BASED DATA" sheetId="1" r:id="rId1"/>
    <sheet name="TRANSAKSI" sheetId="4" r:id="rId2"/>
    <sheet name="SUMBER CARI" sheetId="6" r:id="rId3"/>
    <sheet name="SEARCH" sheetId="7" r:id="rId4"/>
    <sheet name="LAPORAN" sheetId="5" r:id="rId5"/>
    <sheet name="DATABASE TRANSAKSI" sheetId="3" r:id="rId6"/>
    <sheet name="KODE ITEM" sheetId="2" r:id="rId7"/>
    <sheet name="CARI" sheetId="8" r:id="rId8"/>
  </sheets>
  <definedNames>
    <definedName name="CARI">CARI!$Y$2</definedName>
    <definedName name="DATA">CARI!$A$7:$O$56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8" i="8" l="1"/>
  <c r="S9" i="8"/>
  <c r="S10" i="8"/>
  <c r="S11" i="8"/>
  <c r="S12" i="8"/>
  <c r="S13" i="8"/>
  <c r="S14" i="8"/>
  <c r="S15" i="8"/>
  <c r="S16" i="8"/>
  <c r="S17" i="8"/>
  <c r="S18" i="8"/>
  <c r="S19" i="8"/>
  <c r="S20" i="8"/>
  <c r="S21" i="8"/>
  <c r="S22" i="8"/>
  <c r="S23" i="8"/>
  <c r="S24" i="8"/>
  <c r="S25" i="8"/>
  <c r="S26" i="8"/>
  <c r="S27" i="8"/>
  <c r="S28" i="8"/>
  <c r="S29" i="8"/>
  <c r="S30" i="8"/>
  <c r="S31" i="8"/>
  <c r="S32" i="8"/>
  <c r="S33" i="8"/>
  <c r="S34" i="8"/>
  <c r="S35" i="8"/>
  <c r="S36" i="8"/>
  <c r="S37" i="8"/>
  <c r="S38" i="8"/>
  <c r="S39" i="8"/>
  <c r="S40" i="8"/>
  <c r="S41" i="8"/>
  <c r="S42" i="8"/>
  <c r="S43" i="8"/>
  <c r="S44" i="8"/>
  <c r="S45" i="8"/>
  <c r="S46" i="8"/>
  <c r="S47" i="8"/>
  <c r="S48" i="8"/>
  <c r="S49" i="8"/>
  <c r="S50" i="8"/>
  <c r="S51" i="8"/>
  <c r="S52" i="8"/>
  <c r="S53" i="8"/>
  <c r="S54" i="8"/>
  <c r="S55" i="8"/>
  <c r="S56" i="8"/>
  <c r="S7" i="8"/>
  <c r="R8" i="8"/>
  <c r="R9" i="8"/>
  <c r="R10" i="8"/>
  <c r="R11" i="8"/>
  <c r="R12" i="8"/>
  <c r="R13" i="8"/>
  <c r="R14" i="8"/>
  <c r="R15" i="8"/>
  <c r="R16" i="8"/>
  <c r="R17" i="8"/>
  <c r="R18" i="8"/>
  <c r="R19" i="8"/>
  <c r="R20" i="8"/>
  <c r="R21" i="8"/>
  <c r="R22" i="8"/>
  <c r="R23" i="8"/>
  <c r="R24" i="8"/>
  <c r="R25" i="8"/>
  <c r="R26" i="8"/>
  <c r="R27" i="8"/>
  <c r="R28" i="8"/>
  <c r="R29" i="8"/>
  <c r="R30" i="8"/>
  <c r="R31" i="8"/>
  <c r="R32" i="8"/>
  <c r="R33" i="8"/>
  <c r="R34" i="8"/>
  <c r="R35" i="8"/>
  <c r="R36" i="8"/>
  <c r="R37" i="8"/>
  <c r="R38" i="8"/>
  <c r="R39" i="8"/>
  <c r="R40" i="8"/>
  <c r="R41" i="8"/>
  <c r="R42" i="8"/>
  <c r="R43" i="8"/>
  <c r="R44" i="8"/>
  <c r="R45" i="8"/>
  <c r="R46" i="8"/>
  <c r="R47" i="8"/>
  <c r="R48" i="8"/>
  <c r="R49" i="8"/>
  <c r="R50" i="8"/>
  <c r="R51" i="8"/>
  <c r="R52" i="8"/>
  <c r="R53" i="8"/>
  <c r="R54" i="8"/>
  <c r="R55" i="8"/>
  <c r="R56" i="8"/>
  <c r="R7" i="8"/>
  <c r="N56" i="8"/>
  <c r="O56" i="8" s="1"/>
  <c r="J56" i="8"/>
  <c r="I56" i="8"/>
  <c r="K56" i="8" s="1"/>
  <c r="C56" i="8"/>
  <c r="N55" i="8"/>
  <c r="O55" i="8" s="1"/>
  <c r="J55" i="8"/>
  <c r="I55" i="8"/>
  <c r="K55" i="8" s="1"/>
  <c r="C55" i="8"/>
  <c r="N54" i="8"/>
  <c r="O54" i="8" s="1"/>
  <c r="J54" i="8"/>
  <c r="I54" i="8"/>
  <c r="K54" i="8" s="1"/>
  <c r="C54" i="8"/>
  <c r="N53" i="8"/>
  <c r="O53" i="8" s="1"/>
  <c r="J53" i="8"/>
  <c r="I53" i="8"/>
  <c r="K53" i="8" s="1"/>
  <c r="C53" i="8"/>
  <c r="N52" i="8"/>
  <c r="O52" i="8" s="1"/>
  <c r="J52" i="8"/>
  <c r="I52" i="8"/>
  <c r="K52" i="8" s="1"/>
  <c r="C52" i="8"/>
  <c r="N51" i="8"/>
  <c r="O51" i="8" s="1"/>
  <c r="J51" i="8"/>
  <c r="I51" i="8"/>
  <c r="K51" i="8" s="1"/>
  <c r="C51" i="8"/>
  <c r="N50" i="8"/>
  <c r="O50" i="8" s="1"/>
  <c r="J50" i="8"/>
  <c r="I50" i="8"/>
  <c r="K50" i="8" s="1"/>
  <c r="D50" i="8"/>
  <c r="D51" i="8" s="1"/>
  <c r="C50" i="8"/>
  <c r="B50" i="8"/>
  <c r="N49" i="8"/>
  <c r="O49" i="8" s="1"/>
  <c r="J49" i="8"/>
  <c r="I49" i="8"/>
  <c r="K49" i="8" s="1"/>
  <c r="C49" i="8"/>
  <c r="N48" i="8"/>
  <c r="O48" i="8" s="1"/>
  <c r="J48" i="8"/>
  <c r="I48" i="8"/>
  <c r="K48" i="8" s="1"/>
  <c r="D48" i="8"/>
  <c r="D49" i="8" s="1"/>
  <c r="B49" i="8" s="1"/>
  <c r="C48" i="8"/>
  <c r="B48" i="8"/>
  <c r="N47" i="8"/>
  <c r="O47" i="8" s="1"/>
  <c r="J47" i="8"/>
  <c r="I47" i="8"/>
  <c r="K47" i="8" s="1"/>
  <c r="D47" i="8"/>
  <c r="C47" i="8"/>
  <c r="B47" i="8"/>
  <c r="N46" i="8"/>
  <c r="O46" i="8" s="1"/>
  <c r="J46" i="8"/>
  <c r="I46" i="8"/>
  <c r="K46" i="8" s="1"/>
  <c r="C46" i="8"/>
  <c r="N45" i="8"/>
  <c r="O45" i="8" s="1"/>
  <c r="J45" i="8"/>
  <c r="I45" i="8"/>
  <c r="K45" i="8" s="1"/>
  <c r="C45" i="8"/>
  <c r="N44" i="8"/>
  <c r="O44" i="8" s="1"/>
  <c r="J44" i="8"/>
  <c r="I44" i="8"/>
  <c r="K44" i="8" s="1"/>
  <c r="C44" i="8"/>
  <c r="N43" i="8"/>
  <c r="O43" i="8" s="1"/>
  <c r="J43" i="8"/>
  <c r="I43" i="8"/>
  <c r="K43" i="8" s="1"/>
  <c r="C43" i="8"/>
  <c r="N42" i="8"/>
  <c r="O42" i="8" s="1"/>
  <c r="J42" i="8"/>
  <c r="I42" i="8"/>
  <c r="K42" i="8" s="1"/>
  <c r="C42" i="8"/>
  <c r="N41" i="8"/>
  <c r="O41" i="8" s="1"/>
  <c r="J41" i="8"/>
  <c r="I41" i="8"/>
  <c r="K41" i="8" s="1"/>
  <c r="C41" i="8"/>
  <c r="N40" i="8"/>
  <c r="O40" i="8" s="1"/>
  <c r="J40" i="8"/>
  <c r="I40" i="8"/>
  <c r="K40" i="8" s="1"/>
  <c r="C40" i="8"/>
  <c r="N39" i="8"/>
  <c r="O39" i="8" s="1"/>
  <c r="J39" i="8"/>
  <c r="I39" i="8"/>
  <c r="K39" i="8" s="1"/>
  <c r="C39" i="8"/>
  <c r="N38" i="8"/>
  <c r="O38" i="8" s="1"/>
  <c r="J38" i="8"/>
  <c r="I38" i="8"/>
  <c r="K38" i="8" s="1"/>
  <c r="C38" i="8"/>
  <c r="N37" i="8"/>
  <c r="O37" i="8" s="1"/>
  <c r="J37" i="8"/>
  <c r="I37" i="8"/>
  <c r="K37" i="8" s="1"/>
  <c r="D37" i="8"/>
  <c r="D38" i="8" s="1"/>
  <c r="C37" i="8"/>
  <c r="B37" i="8"/>
  <c r="N36" i="8"/>
  <c r="O36" i="8" s="1"/>
  <c r="J36" i="8"/>
  <c r="I36" i="8"/>
  <c r="K36" i="8" s="1"/>
  <c r="C36" i="8"/>
  <c r="N35" i="8"/>
  <c r="O35" i="8" s="1"/>
  <c r="J35" i="8"/>
  <c r="I35" i="8"/>
  <c r="K35" i="8" s="1"/>
  <c r="C35" i="8"/>
  <c r="N34" i="8"/>
  <c r="O34" i="8" s="1"/>
  <c r="J34" i="8"/>
  <c r="I34" i="8"/>
  <c r="K34" i="8" s="1"/>
  <c r="C34" i="8"/>
  <c r="N33" i="8"/>
  <c r="O33" i="8" s="1"/>
  <c r="J33" i="8"/>
  <c r="I33" i="8"/>
  <c r="K33" i="8" s="1"/>
  <c r="C33" i="8"/>
  <c r="N32" i="8"/>
  <c r="O32" i="8" s="1"/>
  <c r="J32" i="8"/>
  <c r="I32" i="8"/>
  <c r="K32" i="8" s="1"/>
  <c r="D32" i="8"/>
  <c r="D33" i="8" s="1"/>
  <c r="C32" i="8"/>
  <c r="B32" i="8"/>
  <c r="N31" i="8"/>
  <c r="O31" i="8" s="1"/>
  <c r="J31" i="8"/>
  <c r="I31" i="8"/>
  <c r="K31" i="8" s="1"/>
  <c r="C31" i="8"/>
  <c r="N30" i="8"/>
  <c r="O30" i="8" s="1"/>
  <c r="J30" i="8"/>
  <c r="I30" i="8"/>
  <c r="K30" i="8" s="1"/>
  <c r="C30" i="8"/>
  <c r="N29" i="8"/>
  <c r="O29" i="8" s="1"/>
  <c r="J29" i="8"/>
  <c r="I29" i="8"/>
  <c r="K29" i="8" s="1"/>
  <c r="C29" i="8"/>
  <c r="N28" i="8"/>
  <c r="O28" i="8" s="1"/>
  <c r="J28" i="8"/>
  <c r="I28" i="8"/>
  <c r="K28" i="8" s="1"/>
  <c r="C28" i="8"/>
  <c r="N27" i="8"/>
  <c r="O27" i="8" s="1"/>
  <c r="J27" i="8"/>
  <c r="I27" i="8"/>
  <c r="K27" i="8" s="1"/>
  <c r="D27" i="8"/>
  <c r="D28" i="8" s="1"/>
  <c r="C27" i="8"/>
  <c r="B27" i="8"/>
  <c r="N26" i="8"/>
  <c r="O26" i="8" s="1"/>
  <c r="J26" i="8"/>
  <c r="I26" i="8"/>
  <c r="K26" i="8" s="1"/>
  <c r="C26" i="8"/>
  <c r="N25" i="8"/>
  <c r="O25" i="8" s="1"/>
  <c r="J25" i="8"/>
  <c r="I25" i="8"/>
  <c r="K25" i="8" s="1"/>
  <c r="D25" i="8"/>
  <c r="D26" i="8" s="1"/>
  <c r="B26" i="8" s="1"/>
  <c r="C25" i="8"/>
  <c r="B25" i="8"/>
  <c r="N24" i="8"/>
  <c r="O24" i="8" s="1"/>
  <c r="J24" i="8"/>
  <c r="I24" i="8"/>
  <c r="K24" i="8" s="1"/>
  <c r="C24" i="8"/>
  <c r="N23" i="8"/>
  <c r="O23" i="8" s="1"/>
  <c r="J23" i="8"/>
  <c r="I23" i="8"/>
  <c r="K23" i="8" s="1"/>
  <c r="C23" i="8"/>
  <c r="N22" i="8"/>
  <c r="O22" i="8" s="1"/>
  <c r="J22" i="8"/>
  <c r="I22" i="8"/>
  <c r="K22" i="8" s="1"/>
  <c r="C22" i="8"/>
  <c r="N21" i="8"/>
  <c r="O21" i="8" s="1"/>
  <c r="J21" i="8"/>
  <c r="I21" i="8"/>
  <c r="K21" i="8" s="1"/>
  <c r="C21" i="8"/>
  <c r="N20" i="8"/>
  <c r="O20" i="8" s="1"/>
  <c r="J20" i="8"/>
  <c r="I20" i="8"/>
  <c r="K20" i="8" s="1"/>
  <c r="C20" i="8"/>
  <c r="N19" i="8"/>
  <c r="O19" i="8" s="1"/>
  <c r="J19" i="8"/>
  <c r="I19" i="8"/>
  <c r="K19" i="8" s="1"/>
  <c r="C19" i="8"/>
  <c r="N18" i="8"/>
  <c r="O18" i="8" s="1"/>
  <c r="J18" i="8"/>
  <c r="I18" i="8"/>
  <c r="K18" i="8" s="1"/>
  <c r="C18" i="8"/>
  <c r="N17" i="8"/>
  <c r="O17" i="8" s="1"/>
  <c r="J17" i="8"/>
  <c r="I17" i="8"/>
  <c r="K17" i="8" s="1"/>
  <c r="D17" i="8"/>
  <c r="D18" i="8" s="1"/>
  <c r="C17" i="8"/>
  <c r="B17" i="8"/>
  <c r="N16" i="8"/>
  <c r="O16" i="8" s="1"/>
  <c r="J16" i="8"/>
  <c r="I16" i="8"/>
  <c r="K16" i="8" s="1"/>
  <c r="D16" i="8"/>
  <c r="C16" i="8"/>
  <c r="B16" i="8"/>
  <c r="N15" i="8"/>
  <c r="O15" i="8" s="1"/>
  <c r="J15" i="8"/>
  <c r="I15" i="8"/>
  <c r="K15" i="8" s="1"/>
  <c r="D15" i="8"/>
  <c r="C15" i="8"/>
  <c r="B15" i="8"/>
  <c r="N14" i="8"/>
  <c r="O14" i="8" s="1"/>
  <c r="J14" i="8"/>
  <c r="I14" i="8"/>
  <c r="K14" i="8" s="1"/>
  <c r="D14" i="8"/>
  <c r="C14" i="8"/>
  <c r="B14" i="8"/>
  <c r="N13" i="8"/>
  <c r="O13" i="8" s="1"/>
  <c r="J13" i="8"/>
  <c r="I13" i="8"/>
  <c r="K13" i="8" s="1"/>
  <c r="C13" i="8"/>
  <c r="N12" i="8"/>
  <c r="O12" i="8" s="1"/>
  <c r="J12" i="8"/>
  <c r="I12" i="8"/>
  <c r="K12" i="8" s="1"/>
  <c r="C12" i="8"/>
  <c r="N11" i="8"/>
  <c r="O11" i="8" s="1"/>
  <c r="J11" i="8"/>
  <c r="I11" i="8"/>
  <c r="K11" i="8" s="1"/>
  <c r="C11" i="8"/>
  <c r="N10" i="8"/>
  <c r="O10" i="8" s="1"/>
  <c r="J10" i="8"/>
  <c r="I10" i="8"/>
  <c r="K10" i="8" s="1"/>
  <c r="C10" i="8"/>
  <c r="N9" i="8"/>
  <c r="O9" i="8" s="1"/>
  <c r="J9" i="8"/>
  <c r="I9" i="8"/>
  <c r="K9" i="8" s="1"/>
  <c r="C9" i="8"/>
  <c r="N8" i="8"/>
  <c r="O8" i="8" s="1"/>
  <c r="J8" i="8"/>
  <c r="I8" i="8"/>
  <c r="K8" i="8" s="1"/>
  <c r="C8" i="8"/>
  <c r="N7" i="8"/>
  <c r="O7" i="8" s="1"/>
  <c r="J7" i="8"/>
  <c r="I7" i="8"/>
  <c r="K7" i="8" s="1"/>
  <c r="D7" i="8"/>
  <c r="D8" i="8" s="1"/>
  <c r="C7" i="8"/>
  <c r="B7" i="8"/>
  <c r="N56" i="6"/>
  <c r="O56" i="6" s="1"/>
  <c r="J56" i="6"/>
  <c r="I56" i="6"/>
  <c r="K56" i="6" s="1"/>
  <c r="C56" i="6"/>
  <c r="N55" i="6"/>
  <c r="O55" i="6" s="1"/>
  <c r="J55" i="6"/>
  <c r="I55" i="6"/>
  <c r="K55" i="6" s="1"/>
  <c r="C55" i="6"/>
  <c r="N54" i="6"/>
  <c r="O54" i="6" s="1"/>
  <c r="J54" i="6"/>
  <c r="I54" i="6"/>
  <c r="K54" i="6" s="1"/>
  <c r="C54" i="6"/>
  <c r="N53" i="6"/>
  <c r="O53" i="6" s="1"/>
  <c r="J53" i="6"/>
  <c r="I53" i="6"/>
  <c r="K53" i="6" s="1"/>
  <c r="C53" i="6"/>
  <c r="N52" i="6"/>
  <c r="O52" i="6" s="1"/>
  <c r="J52" i="6"/>
  <c r="I52" i="6"/>
  <c r="K52" i="6" s="1"/>
  <c r="C52" i="6"/>
  <c r="N51" i="6"/>
  <c r="O51" i="6" s="1"/>
  <c r="J51" i="6"/>
  <c r="I51" i="6"/>
  <c r="K51" i="6" s="1"/>
  <c r="C51" i="6"/>
  <c r="N50" i="6"/>
  <c r="O50" i="6" s="1"/>
  <c r="J50" i="6"/>
  <c r="I50" i="6"/>
  <c r="K50" i="6" s="1"/>
  <c r="D50" i="6"/>
  <c r="D51" i="6" s="1"/>
  <c r="C50" i="6"/>
  <c r="B50" i="6"/>
  <c r="N49" i="6"/>
  <c r="O49" i="6" s="1"/>
  <c r="J49" i="6"/>
  <c r="I49" i="6"/>
  <c r="K49" i="6" s="1"/>
  <c r="C49" i="6"/>
  <c r="N48" i="6"/>
  <c r="O48" i="6" s="1"/>
  <c r="J48" i="6"/>
  <c r="I48" i="6"/>
  <c r="K48" i="6" s="1"/>
  <c r="D48" i="6"/>
  <c r="D49" i="6" s="1"/>
  <c r="B49" i="6" s="1"/>
  <c r="C48" i="6"/>
  <c r="B48" i="6"/>
  <c r="N47" i="6"/>
  <c r="O47" i="6" s="1"/>
  <c r="J47" i="6"/>
  <c r="I47" i="6"/>
  <c r="K47" i="6" s="1"/>
  <c r="D47" i="6"/>
  <c r="C47" i="6"/>
  <c r="B47" i="6"/>
  <c r="N46" i="6"/>
  <c r="O46" i="6" s="1"/>
  <c r="J46" i="6"/>
  <c r="I46" i="6"/>
  <c r="K46" i="6" s="1"/>
  <c r="C46" i="6"/>
  <c r="N45" i="6"/>
  <c r="O45" i="6" s="1"/>
  <c r="J45" i="6"/>
  <c r="I45" i="6"/>
  <c r="K45" i="6" s="1"/>
  <c r="C45" i="6"/>
  <c r="N44" i="6"/>
  <c r="O44" i="6" s="1"/>
  <c r="J44" i="6"/>
  <c r="I44" i="6"/>
  <c r="K44" i="6" s="1"/>
  <c r="C44" i="6"/>
  <c r="N43" i="6"/>
  <c r="O43" i="6" s="1"/>
  <c r="J43" i="6"/>
  <c r="I43" i="6"/>
  <c r="K43" i="6" s="1"/>
  <c r="C43" i="6"/>
  <c r="N42" i="6"/>
  <c r="O42" i="6" s="1"/>
  <c r="J42" i="6"/>
  <c r="I42" i="6"/>
  <c r="K42" i="6" s="1"/>
  <c r="C42" i="6"/>
  <c r="N41" i="6"/>
  <c r="O41" i="6" s="1"/>
  <c r="J41" i="6"/>
  <c r="I41" i="6"/>
  <c r="K41" i="6" s="1"/>
  <c r="C41" i="6"/>
  <c r="N40" i="6"/>
  <c r="O40" i="6" s="1"/>
  <c r="J40" i="6"/>
  <c r="I40" i="6"/>
  <c r="K40" i="6" s="1"/>
  <c r="C40" i="6"/>
  <c r="N39" i="6"/>
  <c r="O39" i="6" s="1"/>
  <c r="J39" i="6"/>
  <c r="I39" i="6"/>
  <c r="K39" i="6" s="1"/>
  <c r="C39" i="6"/>
  <c r="N38" i="6"/>
  <c r="O38" i="6" s="1"/>
  <c r="J38" i="6"/>
  <c r="I38" i="6"/>
  <c r="K38" i="6" s="1"/>
  <c r="C38" i="6"/>
  <c r="N37" i="6"/>
  <c r="O37" i="6" s="1"/>
  <c r="J37" i="6"/>
  <c r="I37" i="6"/>
  <c r="K37" i="6" s="1"/>
  <c r="D37" i="6"/>
  <c r="D38" i="6" s="1"/>
  <c r="C37" i="6"/>
  <c r="B37" i="6"/>
  <c r="N36" i="6"/>
  <c r="O36" i="6" s="1"/>
  <c r="J36" i="6"/>
  <c r="I36" i="6"/>
  <c r="K36" i="6" s="1"/>
  <c r="C36" i="6"/>
  <c r="N35" i="6"/>
  <c r="O35" i="6" s="1"/>
  <c r="J35" i="6"/>
  <c r="I35" i="6"/>
  <c r="K35" i="6" s="1"/>
  <c r="C35" i="6"/>
  <c r="N34" i="6"/>
  <c r="O34" i="6" s="1"/>
  <c r="J34" i="6"/>
  <c r="I34" i="6"/>
  <c r="K34" i="6" s="1"/>
  <c r="C34" i="6"/>
  <c r="N33" i="6"/>
  <c r="O33" i="6" s="1"/>
  <c r="J33" i="6"/>
  <c r="I33" i="6"/>
  <c r="K33" i="6" s="1"/>
  <c r="C33" i="6"/>
  <c r="N32" i="6"/>
  <c r="O32" i="6" s="1"/>
  <c r="J32" i="6"/>
  <c r="I32" i="6"/>
  <c r="K32" i="6" s="1"/>
  <c r="D32" i="6"/>
  <c r="D33" i="6" s="1"/>
  <c r="C32" i="6"/>
  <c r="B32" i="6"/>
  <c r="N31" i="6"/>
  <c r="O31" i="6" s="1"/>
  <c r="J31" i="6"/>
  <c r="I31" i="6"/>
  <c r="K31" i="6" s="1"/>
  <c r="C31" i="6"/>
  <c r="N30" i="6"/>
  <c r="O30" i="6" s="1"/>
  <c r="J30" i="6"/>
  <c r="I30" i="6"/>
  <c r="K30" i="6" s="1"/>
  <c r="C30" i="6"/>
  <c r="N29" i="6"/>
  <c r="O29" i="6" s="1"/>
  <c r="J29" i="6"/>
  <c r="I29" i="6"/>
  <c r="K29" i="6" s="1"/>
  <c r="C29" i="6"/>
  <c r="N28" i="6"/>
  <c r="O28" i="6" s="1"/>
  <c r="J28" i="6"/>
  <c r="I28" i="6"/>
  <c r="K28" i="6" s="1"/>
  <c r="C28" i="6"/>
  <c r="N27" i="6"/>
  <c r="O27" i="6" s="1"/>
  <c r="J27" i="6"/>
  <c r="I27" i="6"/>
  <c r="K27" i="6" s="1"/>
  <c r="D27" i="6"/>
  <c r="D28" i="6" s="1"/>
  <c r="C27" i="6"/>
  <c r="B27" i="6"/>
  <c r="N26" i="6"/>
  <c r="O26" i="6" s="1"/>
  <c r="J26" i="6"/>
  <c r="I26" i="6"/>
  <c r="K26" i="6" s="1"/>
  <c r="C26" i="6"/>
  <c r="N25" i="6"/>
  <c r="O25" i="6" s="1"/>
  <c r="J25" i="6"/>
  <c r="I25" i="6"/>
  <c r="K25" i="6" s="1"/>
  <c r="D25" i="6"/>
  <c r="D26" i="6" s="1"/>
  <c r="B26" i="6" s="1"/>
  <c r="C25" i="6"/>
  <c r="B25" i="6"/>
  <c r="N24" i="6"/>
  <c r="O24" i="6" s="1"/>
  <c r="J24" i="6"/>
  <c r="I24" i="6"/>
  <c r="K24" i="6" s="1"/>
  <c r="C24" i="6"/>
  <c r="N23" i="6"/>
  <c r="O23" i="6" s="1"/>
  <c r="J23" i="6"/>
  <c r="I23" i="6"/>
  <c r="K23" i="6" s="1"/>
  <c r="C23" i="6"/>
  <c r="N22" i="6"/>
  <c r="O22" i="6" s="1"/>
  <c r="J22" i="6"/>
  <c r="I22" i="6"/>
  <c r="K22" i="6" s="1"/>
  <c r="C22" i="6"/>
  <c r="N21" i="6"/>
  <c r="O21" i="6" s="1"/>
  <c r="J21" i="6"/>
  <c r="I21" i="6"/>
  <c r="K21" i="6" s="1"/>
  <c r="C21" i="6"/>
  <c r="N20" i="6"/>
  <c r="O20" i="6" s="1"/>
  <c r="J20" i="6"/>
  <c r="I20" i="6"/>
  <c r="K20" i="6" s="1"/>
  <c r="C20" i="6"/>
  <c r="N19" i="6"/>
  <c r="O19" i="6" s="1"/>
  <c r="J19" i="6"/>
  <c r="I19" i="6"/>
  <c r="K19" i="6" s="1"/>
  <c r="C19" i="6"/>
  <c r="N18" i="6"/>
  <c r="O18" i="6" s="1"/>
  <c r="J18" i="6"/>
  <c r="I18" i="6"/>
  <c r="K18" i="6" s="1"/>
  <c r="C18" i="6"/>
  <c r="N17" i="6"/>
  <c r="O17" i="6" s="1"/>
  <c r="J17" i="6"/>
  <c r="I17" i="6"/>
  <c r="K17" i="6" s="1"/>
  <c r="D17" i="6"/>
  <c r="D18" i="6" s="1"/>
  <c r="C17" i="6"/>
  <c r="B17" i="6"/>
  <c r="N16" i="6"/>
  <c r="O16" i="6" s="1"/>
  <c r="J16" i="6"/>
  <c r="I16" i="6"/>
  <c r="K16" i="6" s="1"/>
  <c r="D16" i="6"/>
  <c r="C16" i="6"/>
  <c r="B16" i="6"/>
  <c r="N15" i="6"/>
  <c r="O15" i="6" s="1"/>
  <c r="J15" i="6"/>
  <c r="I15" i="6"/>
  <c r="K15" i="6" s="1"/>
  <c r="D15" i="6"/>
  <c r="C15" i="6"/>
  <c r="B15" i="6"/>
  <c r="N14" i="6"/>
  <c r="O14" i="6" s="1"/>
  <c r="J14" i="6"/>
  <c r="I14" i="6"/>
  <c r="K14" i="6" s="1"/>
  <c r="D14" i="6"/>
  <c r="C14" i="6"/>
  <c r="B14" i="6"/>
  <c r="N13" i="6"/>
  <c r="O13" i="6" s="1"/>
  <c r="J13" i="6"/>
  <c r="I13" i="6"/>
  <c r="K13" i="6" s="1"/>
  <c r="C13" i="6"/>
  <c r="N12" i="6"/>
  <c r="O12" i="6" s="1"/>
  <c r="J12" i="6"/>
  <c r="I12" i="6"/>
  <c r="K12" i="6" s="1"/>
  <c r="C12" i="6"/>
  <c r="N11" i="6"/>
  <c r="O11" i="6" s="1"/>
  <c r="J11" i="6"/>
  <c r="I11" i="6"/>
  <c r="K11" i="6" s="1"/>
  <c r="C11" i="6"/>
  <c r="N10" i="6"/>
  <c r="O10" i="6" s="1"/>
  <c r="J10" i="6"/>
  <c r="I10" i="6"/>
  <c r="K10" i="6" s="1"/>
  <c r="C10" i="6"/>
  <c r="N9" i="6"/>
  <c r="O9" i="6" s="1"/>
  <c r="J9" i="6"/>
  <c r="I9" i="6"/>
  <c r="K9" i="6" s="1"/>
  <c r="C9" i="6"/>
  <c r="N8" i="6"/>
  <c r="O8" i="6" s="1"/>
  <c r="J8" i="6"/>
  <c r="I8" i="6"/>
  <c r="K8" i="6" s="1"/>
  <c r="C8" i="6"/>
  <c r="N7" i="6"/>
  <c r="O7" i="6" s="1"/>
  <c r="J7" i="6"/>
  <c r="I7" i="6"/>
  <c r="K7" i="6" s="1"/>
  <c r="D7" i="6"/>
  <c r="D8" i="6" s="1"/>
  <c r="C7" i="6"/>
  <c r="B7" i="6"/>
  <c r="C7" i="1"/>
  <c r="I15" i="4"/>
  <c r="C4" i="5"/>
  <c r="K38" i="4"/>
  <c r="J8" i="4"/>
  <c r="I8" i="4"/>
  <c r="I7" i="4"/>
  <c r="N56" i="1"/>
  <c r="O56" i="1" s="1"/>
  <c r="N55" i="1"/>
  <c r="O55" i="1" s="1"/>
  <c r="N54" i="1"/>
  <c r="O54" i="1" s="1"/>
  <c r="N53" i="1"/>
  <c r="O53" i="1" s="1"/>
  <c r="N52" i="1"/>
  <c r="O52" i="1" s="1"/>
  <c r="N51" i="1"/>
  <c r="O51" i="1" s="1"/>
  <c r="N50" i="1"/>
  <c r="O50" i="1" s="1"/>
  <c r="N49" i="1"/>
  <c r="O49" i="1" s="1"/>
  <c r="N48" i="1"/>
  <c r="O48" i="1" s="1"/>
  <c r="N47" i="1"/>
  <c r="O47" i="1" s="1"/>
  <c r="N46" i="1"/>
  <c r="O46" i="1" s="1"/>
  <c r="N45" i="1"/>
  <c r="O45" i="1" s="1"/>
  <c r="N44" i="1"/>
  <c r="O44" i="1" s="1"/>
  <c r="N43" i="1"/>
  <c r="O43" i="1" s="1"/>
  <c r="N42" i="1"/>
  <c r="O42" i="1" s="1"/>
  <c r="N41" i="1"/>
  <c r="O41" i="1" s="1"/>
  <c r="N40" i="1"/>
  <c r="O40" i="1" s="1"/>
  <c r="N39" i="1"/>
  <c r="O39" i="1" s="1"/>
  <c r="N38" i="1"/>
  <c r="O38" i="1" s="1"/>
  <c r="N37" i="1"/>
  <c r="O37" i="1" s="1"/>
  <c r="N36" i="1"/>
  <c r="O36" i="1" s="1"/>
  <c r="N35" i="1"/>
  <c r="O35" i="1" s="1"/>
  <c r="N34" i="1"/>
  <c r="O34" i="1" s="1"/>
  <c r="N33" i="1"/>
  <c r="O33" i="1" s="1"/>
  <c r="N32" i="1"/>
  <c r="O32" i="1" s="1"/>
  <c r="N31" i="1"/>
  <c r="O31" i="1" s="1"/>
  <c r="N30" i="1"/>
  <c r="O30" i="1" s="1"/>
  <c r="N29" i="1"/>
  <c r="O29" i="1" s="1"/>
  <c r="N28" i="1"/>
  <c r="O28" i="1" s="1"/>
  <c r="N27" i="1"/>
  <c r="O27" i="1" s="1"/>
  <c r="N26" i="1"/>
  <c r="O26" i="1" s="1"/>
  <c r="N25" i="1"/>
  <c r="O25" i="1" s="1"/>
  <c r="N24" i="1"/>
  <c r="O24" i="1" s="1"/>
  <c r="N23" i="1"/>
  <c r="O23" i="1" s="1"/>
  <c r="N22" i="1"/>
  <c r="O22" i="1" s="1"/>
  <c r="N21" i="1"/>
  <c r="O21" i="1" s="1"/>
  <c r="N20" i="1"/>
  <c r="O20" i="1" s="1"/>
  <c r="N19" i="1"/>
  <c r="O19" i="1" s="1"/>
  <c r="N18" i="1"/>
  <c r="O18" i="1" s="1"/>
  <c r="N17" i="1"/>
  <c r="O17" i="1" s="1"/>
  <c r="N16" i="1"/>
  <c r="O16" i="1" s="1"/>
  <c r="N15" i="1"/>
  <c r="O15" i="1" s="1"/>
  <c r="N14" i="1"/>
  <c r="O14" i="1" s="1"/>
  <c r="N13" i="1"/>
  <c r="O13" i="1" s="1"/>
  <c r="N12" i="1"/>
  <c r="O12" i="1" s="1"/>
  <c r="N11" i="1"/>
  <c r="O11" i="1" s="1"/>
  <c r="N10" i="1"/>
  <c r="O10" i="1" s="1"/>
  <c r="N8" i="1"/>
  <c r="O8" i="1" s="1"/>
  <c r="N9" i="1"/>
  <c r="O9" i="1" s="1"/>
  <c r="N7" i="1"/>
  <c r="O7" i="1" s="1"/>
  <c r="J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24" i="1"/>
  <c r="C25" i="1"/>
  <c r="C26" i="1"/>
  <c r="C27" i="1"/>
  <c r="C28" i="1"/>
  <c r="C29" i="1"/>
  <c r="C22" i="1"/>
  <c r="C23" i="1"/>
  <c r="C21" i="1"/>
  <c r="C20" i="1"/>
  <c r="C19" i="1"/>
  <c r="C18" i="1"/>
  <c r="C15" i="1"/>
  <c r="C14" i="1"/>
  <c r="C17" i="1"/>
  <c r="C16" i="1"/>
  <c r="C13" i="1"/>
  <c r="C12" i="1"/>
  <c r="C11" i="1"/>
  <c r="C8" i="1"/>
  <c r="C9" i="1"/>
  <c r="C10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7" i="1"/>
  <c r="D8" i="1" s="1"/>
  <c r="D9" i="1" s="1"/>
  <c r="D10" i="1" s="1"/>
  <c r="D11" i="1" s="1"/>
  <c r="D12" i="1" s="1"/>
  <c r="D13" i="1" s="1"/>
  <c r="T8" i="8" l="1"/>
  <c r="T9" i="8"/>
  <c r="T10" i="8"/>
  <c r="T11" i="8"/>
  <c r="T12" i="8"/>
  <c r="T13" i="8"/>
  <c r="T14" i="8"/>
  <c r="T15" i="8"/>
  <c r="T16" i="8"/>
  <c r="T7" i="8"/>
  <c r="D9" i="8"/>
  <c r="B8" i="8"/>
  <c r="D19" i="8"/>
  <c r="B18" i="8"/>
  <c r="D29" i="8"/>
  <c r="B28" i="8"/>
  <c r="D34" i="8"/>
  <c r="B33" i="8"/>
  <c r="D39" i="8"/>
  <c r="B38" i="8"/>
  <c r="D52" i="8"/>
  <c r="B51" i="8"/>
  <c r="D9" i="6"/>
  <c r="B8" i="6"/>
  <c r="D19" i="6"/>
  <c r="B18" i="6"/>
  <c r="D29" i="6"/>
  <c r="B28" i="6"/>
  <c r="D34" i="6"/>
  <c r="B33" i="6"/>
  <c r="D39" i="6"/>
  <c r="B38" i="6"/>
  <c r="D52" i="6"/>
  <c r="B51" i="6"/>
  <c r="B7" i="1"/>
  <c r="B10" i="1"/>
  <c r="B9" i="1"/>
  <c r="B8" i="1"/>
  <c r="B11" i="1"/>
  <c r="B12" i="1"/>
  <c r="B13" i="1"/>
  <c r="B16" i="1"/>
  <c r="B17" i="1"/>
  <c r="B14" i="1"/>
  <c r="B15" i="1"/>
  <c r="B18" i="1"/>
  <c r="B19" i="1"/>
  <c r="B20" i="1"/>
  <c r="B21" i="1"/>
  <c r="B23" i="1"/>
  <c r="B22" i="1"/>
  <c r="B29" i="1"/>
  <c r="B28" i="1"/>
  <c r="B27" i="1"/>
  <c r="B26" i="1"/>
  <c r="B25" i="1"/>
  <c r="B24" i="1"/>
  <c r="B56" i="1"/>
  <c r="B55" i="1"/>
  <c r="B54" i="1"/>
  <c r="B53" i="1"/>
  <c r="B52" i="1"/>
  <c r="B51" i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8" i="1"/>
  <c r="J7" i="1"/>
  <c r="I56" i="1"/>
  <c r="K56" i="1" s="1"/>
  <c r="I55" i="1"/>
  <c r="K55" i="1" s="1"/>
  <c r="I54" i="1"/>
  <c r="K54" i="1" s="1"/>
  <c r="I53" i="1"/>
  <c r="K53" i="1" s="1"/>
  <c r="I52" i="1"/>
  <c r="K52" i="1" s="1"/>
  <c r="I51" i="1"/>
  <c r="K51" i="1" s="1"/>
  <c r="I50" i="1"/>
  <c r="K50" i="1" s="1"/>
  <c r="I49" i="1"/>
  <c r="K49" i="1" s="1"/>
  <c r="I48" i="1"/>
  <c r="K48" i="1" s="1"/>
  <c r="I47" i="1"/>
  <c r="K47" i="1" s="1"/>
  <c r="I46" i="1"/>
  <c r="K46" i="1" s="1"/>
  <c r="I45" i="1"/>
  <c r="K45" i="1" s="1"/>
  <c r="I44" i="1"/>
  <c r="K44" i="1" s="1"/>
  <c r="I43" i="1"/>
  <c r="K43" i="1" s="1"/>
  <c r="I42" i="1"/>
  <c r="K42" i="1" s="1"/>
  <c r="I41" i="1"/>
  <c r="K41" i="1" s="1"/>
  <c r="I40" i="1"/>
  <c r="K40" i="1" s="1"/>
  <c r="I39" i="1"/>
  <c r="K39" i="1" s="1"/>
  <c r="I38" i="1"/>
  <c r="K38" i="1" s="1"/>
  <c r="I37" i="1"/>
  <c r="K37" i="1" s="1"/>
  <c r="I36" i="1"/>
  <c r="K36" i="1" s="1"/>
  <c r="I35" i="1"/>
  <c r="K35" i="1" s="1"/>
  <c r="I34" i="1"/>
  <c r="K34" i="1" s="1"/>
  <c r="I33" i="1"/>
  <c r="K33" i="1" s="1"/>
  <c r="I32" i="1"/>
  <c r="K32" i="1" s="1"/>
  <c r="I31" i="1"/>
  <c r="K31" i="1" s="1"/>
  <c r="I30" i="1"/>
  <c r="K30" i="1" s="1"/>
  <c r="I29" i="1"/>
  <c r="K29" i="1" s="1"/>
  <c r="I28" i="1"/>
  <c r="K28" i="1" s="1"/>
  <c r="I27" i="1"/>
  <c r="K27" i="1" s="1"/>
  <c r="I26" i="1"/>
  <c r="K26" i="1" s="1"/>
  <c r="I25" i="1"/>
  <c r="K25" i="1" s="1"/>
  <c r="I24" i="1"/>
  <c r="K24" i="1" s="1"/>
  <c r="I23" i="1"/>
  <c r="K23" i="1" s="1"/>
  <c r="I22" i="1"/>
  <c r="K22" i="1" s="1"/>
  <c r="I21" i="1"/>
  <c r="K21" i="1" s="1"/>
  <c r="I20" i="1"/>
  <c r="K20" i="1" s="1"/>
  <c r="I19" i="1"/>
  <c r="K19" i="1" s="1"/>
  <c r="I18" i="1"/>
  <c r="K18" i="1" s="1"/>
  <c r="I17" i="1"/>
  <c r="K17" i="1" s="1"/>
  <c r="I16" i="1"/>
  <c r="K16" i="1" s="1"/>
  <c r="I15" i="1"/>
  <c r="K15" i="1" s="1"/>
  <c r="I14" i="1"/>
  <c r="K14" i="1" s="1"/>
  <c r="I13" i="1"/>
  <c r="K13" i="1" s="1"/>
  <c r="I12" i="1"/>
  <c r="K12" i="1" s="1"/>
  <c r="I11" i="1"/>
  <c r="K11" i="1" s="1"/>
  <c r="I10" i="1"/>
  <c r="K10" i="1" s="1"/>
  <c r="I9" i="1"/>
  <c r="K9" i="1" s="1"/>
  <c r="I8" i="1"/>
  <c r="K8" i="1" s="1"/>
  <c r="I7" i="1"/>
  <c r="K7" i="1" s="1"/>
  <c r="I11" i="4" s="1"/>
  <c r="I13" i="4" s="1"/>
  <c r="X7" i="8" l="1"/>
  <c r="Y7" i="8"/>
  <c r="Z7" i="8"/>
  <c r="AA7" i="8"/>
  <c r="AB7" i="8"/>
  <c r="AC7" i="8"/>
  <c r="W7" i="8"/>
  <c r="D53" i="8"/>
  <c r="B52" i="8"/>
  <c r="D40" i="8"/>
  <c r="B39" i="8"/>
  <c r="D35" i="8"/>
  <c r="B34" i="8"/>
  <c r="D30" i="8"/>
  <c r="B29" i="8"/>
  <c r="D20" i="8"/>
  <c r="B19" i="8"/>
  <c r="D10" i="8"/>
  <c r="B9" i="8"/>
  <c r="D53" i="6"/>
  <c r="B52" i="6"/>
  <c r="D40" i="6"/>
  <c r="B39" i="6"/>
  <c r="D35" i="6"/>
  <c r="B34" i="6"/>
  <c r="D30" i="6"/>
  <c r="B29" i="6"/>
  <c r="D20" i="6"/>
  <c r="B19" i="6"/>
  <c r="D10" i="6"/>
  <c r="B9" i="6"/>
  <c r="D11" i="8" l="1"/>
  <c r="B10" i="8"/>
  <c r="D21" i="8"/>
  <c r="B20" i="8"/>
  <c r="D31" i="8"/>
  <c r="B31" i="8" s="1"/>
  <c r="B30" i="8"/>
  <c r="D36" i="8"/>
  <c r="B36" i="8" s="1"/>
  <c r="B35" i="8"/>
  <c r="D41" i="8"/>
  <c r="B40" i="8"/>
  <c r="D54" i="8"/>
  <c r="B53" i="8"/>
  <c r="D11" i="6"/>
  <c r="B10" i="6"/>
  <c r="D21" i="6"/>
  <c r="B20" i="6"/>
  <c r="D31" i="6"/>
  <c r="B31" i="6" s="1"/>
  <c r="B30" i="6"/>
  <c r="D36" i="6"/>
  <c r="B36" i="6" s="1"/>
  <c r="B35" i="6"/>
  <c r="D41" i="6"/>
  <c r="B40" i="6"/>
  <c r="D54" i="6"/>
  <c r="B53" i="6"/>
  <c r="D55" i="8" l="1"/>
  <c r="B54" i="8"/>
  <c r="D42" i="8"/>
  <c r="B41" i="8"/>
  <c r="D22" i="8"/>
  <c r="B21" i="8"/>
  <c r="D12" i="8"/>
  <c r="B11" i="8"/>
  <c r="D55" i="6"/>
  <c r="B54" i="6"/>
  <c r="D42" i="6"/>
  <c r="B41" i="6"/>
  <c r="D22" i="6"/>
  <c r="B21" i="6"/>
  <c r="D12" i="6"/>
  <c r="B11" i="6"/>
  <c r="D13" i="8" l="1"/>
  <c r="B13" i="8" s="1"/>
  <c r="B12" i="8"/>
  <c r="D23" i="8"/>
  <c r="B22" i="8"/>
  <c r="D43" i="8"/>
  <c r="B42" i="8"/>
  <c r="D56" i="8"/>
  <c r="B56" i="8" s="1"/>
  <c r="B55" i="8"/>
  <c r="D13" i="6"/>
  <c r="B13" i="6" s="1"/>
  <c r="B12" i="6"/>
  <c r="D23" i="6"/>
  <c r="B22" i="6"/>
  <c r="D43" i="6"/>
  <c r="B42" i="6"/>
  <c r="D56" i="6"/>
  <c r="B56" i="6" s="1"/>
  <c r="B55" i="6"/>
  <c r="D44" i="8" l="1"/>
  <c r="B43" i="8"/>
  <c r="D24" i="8"/>
  <c r="B24" i="8" s="1"/>
  <c r="B23" i="8"/>
  <c r="D44" i="6"/>
  <c r="B43" i="6"/>
  <c r="D24" i="6"/>
  <c r="B24" i="6" s="1"/>
  <c r="B23" i="6"/>
  <c r="D45" i="8" l="1"/>
  <c r="B44" i="8"/>
  <c r="D45" i="6"/>
  <c r="B44" i="6"/>
  <c r="D46" i="8" l="1"/>
  <c r="B46" i="8" s="1"/>
  <c r="B45" i="8"/>
  <c r="D46" i="6"/>
  <c r="B46" i="6" s="1"/>
  <c r="B45" i="6"/>
</calcChain>
</file>

<file path=xl/sharedStrings.xml><?xml version="1.0" encoding="utf-8"?>
<sst xmlns="http://schemas.openxmlformats.org/spreadsheetml/2006/main" count="704" uniqueCount="184">
  <si>
    <t>NO</t>
  </si>
  <si>
    <t>NAMA BARANG</t>
  </si>
  <si>
    <t>BERAS</t>
  </si>
  <si>
    <t>GULA PASIR</t>
  </si>
  <si>
    <t>MINYAK GORENG</t>
  </si>
  <si>
    <t>TEPUNG TERIGU</t>
  </si>
  <si>
    <t>GARAM</t>
  </si>
  <si>
    <t>MIE INSTAN</t>
  </si>
  <si>
    <t>TELUR AYAM</t>
  </si>
  <si>
    <t>AIR MINERAL</t>
  </si>
  <si>
    <t>BUMBU MASAK</t>
  </si>
  <si>
    <t>ROTI TAWAR</t>
  </si>
  <si>
    <t>SUSU CAIR</t>
  </si>
  <si>
    <t>KOPI BUBUK</t>
  </si>
  <si>
    <t>TEH CELUP</t>
  </si>
  <si>
    <t>GULA MERAH</t>
  </si>
  <si>
    <t>KECAP MANIS</t>
  </si>
  <si>
    <t>SAUS SAMBAL</t>
  </si>
  <si>
    <t>KERUPUK</t>
  </si>
  <si>
    <t>SNACK</t>
  </si>
  <si>
    <t>PERMEN</t>
  </si>
  <si>
    <t>MINUMAN KEMASAN</t>
  </si>
  <si>
    <t>SABUN MANDI</t>
  </si>
  <si>
    <t>SHAMPO</t>
  </si>
  <si>
    <t>PASTA GIGI</t>
  </si>
  <si>
    <t>SIKAT GIGI</t>
  </si>
  <si>
    <t>SABUN CUCI MUKA</t>
  </si>
  <si>
    <t>DEODORAN</t>
  </si>
  <si>
    <t>BEDAK</t>
  </si>
  <si>
    <t>KAPAS</t>
  </si>
  <si>
    <t>PEMBALUT WANITA</t>
  </si>
  <si>
    <t>TISUE</t>
  </si>
  <si>
    <t>PERLENGKAPAN RUMAH TANGGA</t>
  </si>
  <si>
    <t>DETERJEN BUBUK</t>
  </si>
  <si>
    <t>SABUN CUCI PIRING</t>
  </si>
  <si>
    <t>PEMBERSIH LANTAI</t>
  </si>
  <si>
    <t>PEWANGI PAKAIAN</t>
  </si>
  <si>
    <t>SAMPAH PLASTIK</t>
  </si>
  <si>
    <t>GEMBOK</t>
  </si>
  <si>
    <t>TALI</t>
  </si>
  <si>
    <t>JARUM &amp; BENANG</t>
  </si>
  <si>
    <t>BATERAI</t>
  </si>
  <si>
    <t>LILIN</t>
  </si>
  <si>
    <t>BUKU TULIS</t>
  </si>
  <si>
    <t>PULPEN</t>
  </si>
  <si>
    <t>PENSIL</t>
  </si>
  <si>
    <t>PENGGARIS</t>
  </si>
  <si>
    <t>PENGHAPUS</t>
  </si>
  <si>
    <t>RAUTAN</t>
  </si>
  <si>
    <t>LEM</t>
  </si>
  <si>
    <t>GUNTING</t>
  </si>
  <si>
    <t>KERTAS HVS</t>
  </si>
  <si>
    <t>AMPLOP</t>
  </si>
  <si>
    <t>HARGA BARANG</t>
  </si>
  <si>
    <t>5 KG</t>
  </si>
  <si>
    <t>1 KG</t>
  </si>
  <si>
    <t>1 LITER</t>
  </si>
  <si>
    <t>1 BUAH</t>
  </si>
  <si>
    <t>1 BATANG</t>
  </si>
  <si>
    <t>1 SET</t>
  </si>
  <si>
    <t>1 LEMBAR</t>
  </si>
  <si>
    <t>KODE BARANG</t>
  </si>
  <si>
    <t>KODE ITEM</t>
  </si>
  <si>
    <t>UKURAN</t>
  </si>
  <si>
    <t>KATEGORI</t>
  </si>
  <si>
    <t>MAKANAN</t>
  </si>
  <si>
    <t>MINUMAN</t>
  </si>
  <si>
    <t>PERLENGKAPAN MANDI</t>
  </si>
  <si>
    <t>KEBERSIHAN</t>
  </si>
  <si>
    <t>PERLENGKAPAN SEKOLAH</t>
  </si>
  <si>
    <t>ALAT TULIS</t>
  </si>
  <si>
    <t>50 GRAM</t>
  </si>
  <si>
    <t>30 GRAM</t>
  </si>
  <si>
    <t>80 GRAM</t>
  </si>
  <si>
    <t>100 GRAM</t>
  </si>
  <si>
    <t>400 GRAM</t>
  </si>
  <si>
    <t>200 ML</t>
  </si>
  <si>
    <t>10 GRAM</t>
  </si>
  <si>
    <t>20 SACHET</t>
  </si>
  <si>
    <t>500 GRAM</t>
  </si>
  <si>
    <t>500 ML</t>
  </si>
  <si>
    <t>300 ML</t>
  </si>
  <si>
    <t>20 GRAM</t>
  </si>
  <si>
    <t>5 GRAM</t>
  </si>
  <si>
    <t>250 ML</t>
  </si>
  <si>
    <t>14 GRAM</t>
  </si>
  <si>
    <t>50 ML</t>
  </si>
  <si>
    <t>12 BUAH</t>
  </si>
  <si>
    <t>50 LEMBAR</t>
  </si>
  <si>
    <t>10 METER</t>
  </si>
  <si>
    <t>15 GRAM</t>
  </si>
  <si>
    <t>NOMOR ITEM</t>
  </si>
  <si>
    <t>PAJAK</t>
  </si>
  <si>
    <t>HARGA JUAL</t>
  </si>
  <si>
    <t>MARGIN</t>
  </si>
  <si>
    <t>STOK</t>
  </si>
  <si>
    <t>BARANG</t>
  </si>
  <si>
    <t>GM</t>
  </si>
  <si>
    <t>SK</t>
  </si>
  <si>
    <t>GP</t>
  </si>
  <si>
    <t>MG</t>
  </si>
  <si>
    <t>TT</t>
  </si>
  <si>
    <t>TA</t>
  </si>
  <si>
    <t>MI</t>
  </si>
  <si>
    <t>RT</t>
  </si>
  <si>
    <t>SC</t>
  </si>
  <si>
    <t>KB</t>
  </si>
  <si>
    <t>TC</t>
  </si>
  <si>
    <t>KM</t>
  </si>
  <si>
    <t>SS</t>
  </si>
  <si>
    <t>BM</t>
  </si>
  <si>
    <t>MK</t>
  </si>
  <si>
    <t>GA</t>
  </si>
  <si>
    <t>KK</t>
  </si>
  <si>
    <t>PN</t>
  </si>
  <si>
    <t>AN</t>
  </si>
  <si>
    <t>SM</t>
  </si>
  <si>
    <t>PG</t>
  </si>
  <si>
    <t>SO</t>
  </si>
  <si>
    <t>SG</t>
  </si>
  <si>
    <t>SB</t>
  </si>
  <si>
    <t>PW</t>
  </si>
  <si>
    <t>DN</t>
  </si>
  <si>
    <t>BK</t>
  </si>
  <si>
    <t>KS</t>
  </si>
  <si>
    <t>TE</t>
  </si>
  <si>
    <t>DB</t>
  </si>
  <si>
    <t>SP</t>
  </si>
  <si>
    <t>PL</t>
  </si>
  <si>
    <t>PP</t>
  </si>
  <si>
    <t>SL</t>
  </si>
  <si>
    <t>GK</t>
  </si>
  <si>
    <t>TI</t>
  </si>
  <si>
    <t>JB</t>
  </si>
  <si>
    <t>BI</t>
  </si>
  <si>
    <t>LN</t>
  </si>
  <si>
    <t>BS</t>
  </si>
  <si>
    <t>BR</t>
  </si>
  <si>
    <t>PU</t>
  </si>
  <si>
    <t>PE</t>
  </si>
  <si>
    <t>PR</t>
  </si>
  <si>
    <t>PH</t>
  </si>
  <si>
    <t>RN</t>
  </si>
  <si>
    <t>LM</t>
  </si>
  <si>
    <t>GG</t>
  </si>
  <si>
    <t>KV</t>
  </si>
  <si>
    <t>LO</t>
  </si>
  <si>
    <t>PEMBELIAN</t>
  </si>
  <si>
    <t>PENJUALAN</t>
  </si>
  <si>
    <t>TANGGAL</t>
  </si>
  <si>
    <t>NO NOTA</t>
  </si>
  <si>
    <t>HARGA</t>
  </si>
  <si>
    <t>JUMLAH</t>
  </si>
  <si>
    <t>SUBTOTAL</t>
  </si>
  <si>
    <t>STOK AKHIR</t>
  </si>
  <si>
    <t>SUB TOTAL</t>
  </si>
  <si>
    <t>TOTAL</t>
  </si>
  <si>
    <t>NO. NOTA</t>
  </si>
  <si>
    <t>TOTAL ITEM</t>
  </si>
  <si>
    <t>PT. KELONTONNG SURYA</t>
  </si>
  <si>
    <t>PT. KELONTONG SURYA</t>
  </si>
  <si>
    <t>JUMLAH TOTAL</t>
  </si>
  <si>
    <t>Kecuali Dengan Perjanjian</t>
  </si>
  <si>
    <t>TOKO KELONTONG JAYA</t>
  </si>
  <si>
    <t>LAPORAN TRANSAKSI</t>
  </si>
  <si>
    <t>PERIODE :</t>
  </si>
  <si>
    <t>SURYA</t>
  </si>
  <si>
    <t>Barang Yang Sudah Dibeli Tidak Bisa Ditukar Dengan Alasan Apapun,</t>
  </si>
  <si>
    <t xml:space="preserve">JL. TAUBAT </t>
  </si>
  <si>
    <t>MENU PENCARIAN</t>
  </si>
  <si>
    <t>CARI PRODUK</t>
  </si>
  <si>
    <t xml:space="preserve"> </t>
  </si>
  <si>
    <t>C1</t>
  </si>
  <si>
    <t>C2</t>
  </si>
  <si>
    <t>C3</t>
  </si>
  <si>
    <t>KAS MASUK</t>
  </si>
  <si>
    <t>PENDAPATAN</t>
  </si>
  <si>
    <t>SURYA00001</t>
  </si>
  <si>
    <t>PT.KELONTONG SURYA</t>
  </si>
  <si>
    <t>JL.Taubat</t>
  </si>
  <si>
    <t>Jl.Taubat</t>
  </si>
  <si>
    <t>MENJUAL SEMBAKO</t>
  </si>
  <si>
    <t>QTY</t>
  </si>
  <si>
    <t>NOTA PENJUALAN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</si>
</sst>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7" formatCode="&quot;Rp&quot;\ #,##0.00_);\(&quot;Rp&quot;\ #,##0.00\)"/>
    <numFmt numFmtId="42" formatCode="_(&quot;Rp&quot;\ * #,##0_);_(&quot;Rp&quot;\ * \(#,##0\);_(&quot;Rp&quot;\ * &quot;-&quot;_);_(@_)"/>
    <numFmt numFmtId="43" formatCode="_(* #,##0.00_);_(* \(#,##0.00\);_(* &quot;-&quot;??_);_(@_)"/>
    <numFmt numFmtId="164" formatCode="_-[$Rp-421]* #,##0_-;\-[$Rp-421]* #,##0_-;_-[$Rp-421]* &quot;-&quot;_-;_-@_-"/>
    <numFmt numFmtId="165" formatCode="_(* #.##0_);_(*(#.##0\);_(* &quot;-&quot;_);_(@_)"/>
    <numFmt numFmtId="166" formatCode="_(* #,##0.000_);_(* \(#,##0.000\);_(* &quot;-&quot;???_);_(@_)"/>
  </numFmts>
  <fonts count="14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theme="1"/>
      <name val="Aharoni"/>
      <charset val="177"/>
    </font>
    <font>
      <sz val="18"/>
      <color theme="1"/>
      <name val="Calibri"/>
      <family val="2"/>
      <scheme val="minor"/>
    </font>
    <font>
      <sz val="18"/>
      <color theme="1"/>
      <name val="Arial Black"/>
      <family val="2"/>
    </font>
    <font>
      <sz val="22"/>
      <color theme="7" tint="-0.249977111117893"/>
      <name val="Baskerville Old Face"/>
      <family val="1"/>
    </font>
    <font>
      <i/>
      <sz val="11"/>
      <color theme="1"/>
      <name val="Aptos"/>
      <family val="2"/>
    </font>
    <font>
      <sz val="12"/>
      <color theme="1"/>
      <name val="Aharoni"/>
      <charset val="177"/>
    </font>
    <font>
      <sz val="72"/>
      <color theme="1"/>
      <name val="Calibri"/>
      <family val="2"/>
      <scheme val="minor"/>
    </font>
    <font>
      <sz val="12"/>
      <color theme="4" tint="-0.499984740745262"/>
      <name val="Bodoni MT"/>
      <family val="1"/>
    </font>
    <font>
      <i/>
      <sz val="11"/>
      <color theme="1"/>
      <name val="Aharoni"/>
      <charset val="177"/>
    </font>
    <font>
      <sz val="26"/>
      <color theme="1"/>
      <name val="Bernard MT Condensed"/>
      <family val="1"/>
    </font>
  </fonts>
  <fills count="17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0" fillId="2" borderId="1" xfId="0" applyFill="1" applyBorder="1" applyAlignment="1">
      <alignment horizontal="center"/>
    </xf>
    <xf numFmtId="0" fontId="0" fillId="0" borderId="2" xfId="0" applyBorder="1"/>
    <xf numFmtId="0" fontId="1" fillId="0" borderId="0" xfId="0" applyFont="1"/>
    <xf numFmtId="0" fontId="2" fillId="3" borderId="0" xfId="0" applyFont="1" applyFill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left" indent="1"/>
    </xf>
    <xf numFmtId="0" fontId="0" fillId="3" borderId="0" xfId="0" applyFill="1" applyAlignment="1">
      <alignment horizontal="center"/>
    </xf>
    <xf numFmtId="0" fontId="0" fillId="2" borderId="1" xfId="0" applyFill="1" applyBorder="1" applyAlignment="1">
      <alignment horizontal="center" vertical="top"/>
    </xf>
    <xf numFmtId="0" fontId="0" fillId="0" borderId="1" xfId="0" applyBorder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0" xfId="0" applyFont="1" applyFill="1"/>
    <xf numFmtId="0" fontId="0" fillId="6" borderId="0" xfId="0" applyFill="1"/>
    <xf numFmtId="0" fontId="0" fillId="2" borderId="0" xfId="0" applyFill="1"/>
    <xf numFmtId="0" fontId="0" fillId="7" borderId="0" xfId="0" applyFill="1"/>
    <xf numFmtId="0" fontId="4" fillId="0" borderId="0" xfId="0" applyFont="1"/>
    <xf numFmtId="0" fontId="6" fillId="2" borderId="0" xfId="0" applyFont="1" applyFill="1" applyAlignment="1">
      <alignment horizontal="center"/>
    </xf>
    <xf numFmtId="0" fontId="0" fillId="8" borderId="0" xfId="0" applyFill="1"/>
    <xf numFmtId="0" fontId="5" fillId="8" borderId="0" xfId="0" applyFont="1" applyFill="1" applyAlignment="1">
      <alignment horizontal="center"/>
    </xf>
    <xf numFmtId="14" fontId="0" fillId="7" borderId="0" xfId="0" applyNumberFormat="1" applyFill="1"/>
    <xf numFmtId="0" fontId="0" fillId="7" borderId="0" xfId="0" applyFill="1" applyAlignment="1">
      <alignment horizontal="right"/>
    </xf>
    <xf numFmtId="0" fontId="0" fillId="7" borderId="0" xfId="0" applyFill="1" applyAlignment="1">
      <alignment horizontal="center"/>
    </xf>
    <xf numFmtId="0" fontId="0" fillId="9" borderId="0" xfId="0" applyFill="1"/>
    <xf numFmtId="0" fontId="0" fillId="10" borderId="1" xfId="0" applyFill="1" applyBorder="1" applyAlignment="1">
      <alignment horizontal="center"/>
    </xf>
    <xf numFmtId="165" fontId="0" fillId="0" borderId="1" xfId="0" applyNumberFormat="1" applyBorder="1"/>
    <xf numFmtId="0" fontId="7" fillId="6" borderId="0" xfId="0" applyFont="1" applyFill="1"/>
    <xf numFmtId="0" fontId="0" fillId="0" borderId="0" xfId="0" applyAlignment="1">
      <alignment horizontal="left" indent="17"/>
    </xf>
    <xf numFmtId="0" fontId="8" fillId="0" borderId="0" xfId="0" applyFont="1"/>
    <xf numFmtId="0" fontId="8" fillId="0" borderId="0" xfId="0" applyFont="1" applyAlignment="1">
      <alignment horizontal="left" indent="16"/>
    </xf>
    <xf numFmtId="0" fontId="0" fillId="11" borderId="1" xfId="0" applyFill="1" applyBorder="1" applyAlignment="1">
      <alignment horizontal="center"/>
    </xf>
    <xf numFmtId="0" fontId="9" fillId="0" borderId="0" xfId="0" applyFont="1" applyAlignment="1">
      <alignment horizontal="left" indent="15"/>
    </xf>
    <xf numFmtId="14" fontId="0" fillId="0" borderId="0" xfId="0" applyNumberFormat="1"/>
    <xf numFmtId="0" fontId="3" fillId="0" borderId="0" xfId="0" applyFont="1" applyAlignment="1">
      <alignment horizontal="left" indent="20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12" borderId="1" xfId="0" applyFill="1" applyBorder="1"/>
    <xf numFmtId="0" fontId="0" fillId="12" borderId="1" xfId="0" applyFill="1" applyBorder="1" applyAlignment="1">
      <alignment horizontal="center" vertical="center"/>
    </xf>
    <xf numFmtId="0" fontId="0" fillId="12" borderId="1" xfId="0" applyFill="1" applyBorder="1" applyAlignment="1">
      <alignment horizontal="center" wrapText="1"/>
    </xf>
    <xf numFmtId="0" fontId="0" fillId="12" borderId="1" xfId="0" applyFill="1" applyBorder="1" applyAlignment="1">
      <alignment horizontal="center"/>
    </xf>
    <xf numFmtId="9" fontId="0" fillId="12" borderId="1" xfId="0" applyNumberFormat="1" applyFill="1" applyBorder="1" applyAlignment="1">
      <alignment horizontal="center"/>
    </xf>
    <xf numFmtId="42" fontId="0" fillId="12" borderId="1" xfId="0" applyNumberFormat="1" applyFill="1" applyBorder="1" applyAlignment="1">
      <alignment horizontal="center"/>
    </xf>
    <xf numFmtId="42" fontId="0" fillId="12" borderId="1" xfId="0" applyNumberFormat="1" applyFill="1" applyBorder="1"/>
    <xf numFmtId="43" fontId="0" fillId="12" borderId="1" xfId="0" applyNumberFormat="1" applyFill="1" applyBorder="1"/>
    <xf numFmtId="165" fontId="0" fillId="12" borderId="1" xfId="0" applyNumberFormat="1" applyFill="1" applyBorder="1" applyAlignment="1">
      <alignment horizontal="center"/>
    </xf>
    <xf numFmtId="166" fontId="0" fillId="12" borderId="1" xfId="0" applyNumberFormat="1" applyFill="1" applyBorder="1"/>
    <xf numFmtId="164" fontId="0" fillId="12" borderId="1" xfId="0" applyNumberFormat="1" applyFill="1" applyBorder="1" applyAlignment="1">
      <alignment horizontal="center"/>
    </xf>
    <xf numFmtId="164" fontId="0" fillId="12" borderId="1" xfId="0" applyNumberFormat="1" applyFill="1" applyBorder="1"/>
    <xf numFmtId="0" fontId="10" fillId="0" borderId="0" xfId="0" applyFont="1"/>
    <xf numFmtId="0" fontId="11" fillId="9" borderId="0" xfId="0" applyFont="1" applyFill="1" applyAlignment="1">
      <alignment horizontal="left" vertical="center" indent="4"/>
    </xf>
    <xf numFmtId="0" fontId="5" fillId="0" borderId="1" xfId="0" applyFont="1" applyBorder="1" applyAlignment="1">
      <alignment horizontal="left" vertical="center" indent="13"/>
    </xf>
    <xf numFmtId="0" fontId="0" fillId="0" borderId="0" xfId="0" applyAlignment="1">
      <alignment horizontal="left" indent="1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9" fontId="0" fillId="3" borderId="0" xfId="0" applyNumberFormat="1" applyFill="1" applyAlignment="1">
      <alignment horizontal="center"/>
    </xf>
    <xf numFmtId="0" fontId="0" fillId="3" borderId="0" xfId="0" applyFill="1"/>
    <xf numFmtId="42" fontId="0" fillId="3" borderId="0" xfId="0" applyNumberFormat="1" applyFill="1" applyAlignment="1">
      <alignment horizontal="center"/>
    </xf>
    <xf numFmtId="42" fontId="0" fillId="3" borderId="0" xfId="0" applyNumberFormat="1" applyFill="1"/>
    <xf numFmtId="43" fontId="0" fillId="3" borderId="0" xfId="0" applyNumberFormat="1" applyFill="1"/>
    <xf numFmtId="165" fontId="0" fillId="3" borderId="0" xfId="0" applyNumberFormat="1" applyFill="1" applyAlignment="1">
      <alignment horizontal="center"/>
    </xf>
    <xf numFmtId="164" fontId="0" fillId="3" borderId="0" xfId="0" applyNumberFormat="1" applyFill="1" applyAlignment="1">
      <alignment horizontal="center"/>
    </xf>
    <xf numFmtId="164" fontId="0" fillId="3" borderId="0" xfId="0" applyNumberFormat="1" applyFill="1"/>
    <xf numFmtId="0" fontId="0" fillId="3" borderId="0" xfId="0" applyFill="1" applyAlignment="1">
      <alignment horizontal="center" vertical="center"/>
    </xf>
    <xf numFmtId="0" fontId="0" fillId="3" borderId="0" xfId="0" applyFill="1" applyAlignment="1">
      <alignment horizontal="center" wrapText="1"/>
    </xf>
    <xf numFmtId="166" fontId="0" fillId="3" borderId="0" xfId="0" applyNumberFormat="1" applyFill="1"/>
    <xf numFmtId="0" fontId="0" fillId="6" borderId="1" xfId="0" applyFill="1" applyBorder="1" applyAlignment="1">
      <alignment horizontal="center"/>
    </xf>
    <xf numFmtId="0" fontId="0" fillId="6" borderId="1" xfId="0" applyFill="1" applyBorder="1" applyAlignment="1">
      <alignment horizontal="left" indent="1"/>
    </xf>
    <xf numFmtId="0" fontId="0" fillId="6" borderId="1" xfId="0" applyFill="1" applyBorder="1" applyAlignment="1">
      <alignment horizontal="left"/>
    </xf>
    <xf numFmtId="0" fontId="0" fillId="6" borderId="1" xfId="0" applyFill="1" applyBorder="1"/>
    <xf numFmtId="0" fontId="0" fillId="6" borderId="3" xfId="0" applyFill="1" applyBorder="1" applyAlignment="1">
      <alignment horizontal="center"/>
    </xf>
    <xf numFmtId="0" fontId="0" fillId="13" borderId="0" xfId="0" applyFill="1"/>
    <xf numFmtId="0" fontId="0" fillId="12" borderId="3" xfId="0" applyFill="1" applyBorder="1"/>
    <xf numFmtId="0" fontId="0" fillId="12" borderId="3" xfId="0" applyFill="1" applyBorder="1" applyAlignment="1">
      <alignment horizontal="center"/>
    </xf>
    <xf numFmtId="0" fontId="0" fillId="15" borderId="0" xfId="0" applyFill="1"/>
    <xf numFmtId="0" fontId="0" fillId="15" borderId="1" xfId="0" applyFill="1" applyBorder="1"/>
    <xf numFmtId="0" fontId="0" fillId="15" borderId="1" xfId="0" applyFill="1" applyBorder="1" applyAlignment="1">
      <alignment horizontal="center" vertical="center"/>
    </xf>
    <xf numFmtId="0" fontId="0" fillId="15" borderId="1" xfId="0" applyFill="1" applyBorder="1" applyAlignment="1">
      <alignment horizontal="center" wrapText="1"/>
    </xf>
    <xf numFmtId="0" fontId="0" fillId="15" borderId="1" xfId="0" applyFill="1" applyBorder="1" applyAlignment="1">
      <alignment horizontal="center"/>
    </xf>
    <xf numFmtId="0" fontId="0" fillId="15" borderId="1" xfId="0" applyFill="1" applyBorder="1" applyAlignment="1">
      <alignment horizontal="left" indent="1"/>
    </xf>
    <xf numFmtId="0" fontId="0" fillId="15" borderId="1" xfId="0" applyFill="1" applyBorder="1" applyAlignment="1">
      <alignment horizontal="left"/>
    </xf>
    <xf numFmtId="0" fontId="0" fillId="15" borderId="3" xfId="0" applyFill="1" applyBorder="1" applyAlignment="1">
      <alignment horizontal="center"/>
    </xf>
    <xf numFmtId="9" fontId="0" fillId="15" borderId="1" xfId="0" applyNumberFormat="1" applyFill="1" applyBorder="1" applyAlignment="1">
      <alignment horizontal="center"/>
    </xf>
    <xf numFmtId="0" fontId="12" fillId="16" borderId="0" xfId="0" applyFont="1" applyFill="1" applyAlignment="1">
      <alignment vertical="center"/>
    </xf>
    <xf numFmtId="0" fontId="13" fillId="14" borderId="0" xfId="0" applyFont="1" applyFill="1" applyAlignment="1">
      <alignment horizontal="center" vertical="center"/>
    </xf>
    <xf numFmtId="42" fontId="0" fillId="0" borderId="0" xfId="0" applyNumberFormat="1"/>
    <xf numFmtId="42" fontId="0" fillId="0" borderId="0" xfId="0" applyNumberFormat="1" applyAlignment="1">
      <alignment horizontal="left"/>
    </xf>
    <xf numFmtId="14" fontId="0" fillId="0" borderId="1" xfId="0" applyNumberFormat="1" applyBorder="1"/>
    <xf numFmtId="7" fontId="0" fillId="0" borderId="1" xfId="0" applyNumberFormat="1" applyBorder="1"/>
    <xf numFmtId="0" fontId="0" fillId="0" borderId="0" xfId="0" applyFont="1" applyFill="1" applyBorder="1" applyAlignment="1"/>
    <xf numFmtId="0" fontId="0" fillId="0" borderId="0" xfId="0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CCC"/>
      <color rgb="FFCCFF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1638300</xdr:colOff>
          <xdr:row>14</xdr:row>
          <xdr:rowOff>180975</xdr:rowOff>
        </xdr:from>
        <xdr:to>
          <xdr:col>8</xdr:col>
          <xdr:colOff>2743200</xdr:colOff>
          <xdr:row>16</xdr:row>
          <xdr:rowOff>171450</xdr:rowOff>
        </xdr:to>
        <xdr:sp macro="" textlink="">
          <xdr:nvSpPr>
            <xdr:cNvPr id="8194" name="CommandButton1" hidden="1">
              <a:extLst>
                <a:ext uri="{63B3BB69-23CF-44E3-9099-C40C66FF867C}">
                  <a14:compatExt spid="_x0000_s8194"/>
                </a:ext>
                <a:ext uri="{FF2B5EF4-FFF2-40B4-BE49-F238E27FC236}">
                  <a16:creationId xmlns:a16="http://schemas.microsoft.com/office/drawing/2014/main" id="{00000000-0008-0000-0100-00000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2</xdr:row>
          <xdr:rowOff>9525</xdr:rowOff>
        </xdr:from>
        <xdr:to>
          <xdr:col>2</xdr:col>
          <xdr:colOff>9525</xdr:colOff>
          <xdr:row>3</xdr:row>
          <xdr:rowOff>76200</xdr:rowOff>
        </xdr:to>
        <xdr:sp macro="" textlink="">
          <xdr:nvSpPr>
            <xdr:cNvPr id="7169" name="TextBox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3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image" Target="../media/image1.emf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Relationship Id="rId4" Type="http://schemas.openxmlformats.org/officeDocument/2006/relationships/image" Target="../media/image2.emf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ABEAB6-CCD1-47F9-B0BB-B3BACAADBC63}">
  <sheetPr codeName="Sheet2"/>
  <dimension ref="A1:O68"/>
  <sheetViews>
    <sheetView topLeftCell="A5" zoomScale="110" zoomScaleNormal="110" workbookViewId="0">
      <selection activeCell="G10" sqref="G10"/>
    </sheetView>
  </sheetViews>
  <sheetFormatPr defaultRowHeight="15" x14ac:dyDescent="0.25"/>
  <cols>
    <col min="1" max="1" width="7.7109375" customWidth="1"/>
    <col min="2" max="2" width="28" customWidth="1"/>
    <col min="3" max="3" width="14.28515625" customWidth="1"/>
    <col min="4" max="4" width="16.85546875" customWidth="1"/>
    <col min="5" max="5" width="14.5703125" customWidth="1"/>
    <col min="6" max="6" width="38.5703125" customWidth="1"/>
    <col min="7" max="7" width="21.140625" customWidth="1"/>
    <col min="8" max="8" width="29.5703125" customWidth="1"/>
    <col min="9" max="9" width="20.7109375" customWidth="1"/>
    <col min="10" max="10" width="15.5703125" customWidth="1"/>
    <col min="11" max="11" width="18.85546875" customWidth="1"/>
    <col min="12" max="12" width="16" customWidth="1"/>
    <col min="13" max="13" width="12.28515625" customWidth="1"/>
    <col min="14" max="14" width="12.140625" customWidth="1"/>
    <col min="15" max="15" width="12.85546875" customWidth="1"/>
  </cols>
  <sheetData>
    <row r="1" spans="1:15" ht="27.75" x14ac:dyDescent="0.4">
      <c r="G1" s="15" t="s">
        <v>159</v>
      </c>
    </row>
    <row r="5" spans="1:15" x14ac:dyDescent="0.25">
      <c r="G5" s="35"/>
      <c r="H5" s="35"/>
      <c r="I5" s="36" t="s">
        <v>92</v>
      </c>
      <c r="J5" s="36" t="s">
        <v>94</v>
      </c>
      <c r="K5" s="37" t="s">
        <v>93</v>
      </c>
      <c r="L5" s="37" t="s">
        <v>95</v>
      </c>
      <c r="M5" s="35"/>
      <c r="N5" s="35"/>
      <c r="O5" s="35"/>
    </row>
    <row r="6" spans="1:15" x14ac:dyDescent="0.25">
      <c r="A6" s="1" t="s">
        <v>0</v>
      </c>
      <c r="B6" s="6" t="s">
        <v>61</v>
      </c>
      <c r="C6" s="9" t="s">
        <v>62</v>
      </c>
      <c r="D6" s="5" t="s">
        <v>91</v>
      </c>
      <c r="E6" s="6" t="s">
        <v>63</v>
      </c>
      <c r="F6" s="33" t="s">
        <v>64</v>
      </c>
      <c r="G6" s="38" t="s">
        <v>1</v>
      </c>
      <c r="H6" s="38" t="s">
        <v>53</v>
      </c>
      <c r="I6" s="39">
        <v>0.11</v>
      </c>
      <c r="J6" s="39">
        <v>0.3</v>
      </c>
      <c r="K6" s="35"/>
      <c r="L6" s="38" t="s">
        <v>96</v>
      </c>
      <c r="M6" s="38" t="s">
        <v>147</v>
      </c>
      <c r="N6" s="38" t="s">
        <v>148</v>
      </c>
      <c r="O6" s="38" t="s">
        <v>154</v>
      </c>
    </row>
    <row r="7" spans="1:15" x14ac:dyDescent="0.25">
      <c r="A7" s="1">
        <v>1</v>
      </c>
      <c r="B7" s="5" t="str">
        <f>CONCATENATE(C7,"00",LEFT(E7,1),"-",D7)</f>
        <v>BR005-1</v>
      </c>
      <c r="C7" s="5" t="str">
        <f>VLOOKUP(G7,'KODE ITEM'!B3:C53,2,FALSE)</f>
        <v>BR</v>
      </c>
      <c r="D7" s="5">
        <f>IF(F7&lt;&gt;F6,1,D6+1)</f>
        <v>1</v>
      </c>
      <c r="E7" s="5" t="s">
        <v>54</v>
      </c>
      <c r="F7" s="33" t="s">
        <v>65</v>
      </c>
      <c r="G7" s="38" t="s">
        <v>2</v>
      </c>
      <c r="H7" s="40">
        <v>65000</v>
      </c>
      <c r="I7" s="41">
        <f>H7*I6</f>
        <v>7150</v>
      </c>
      <c r="J7" s="41">
        <f>H7*J6</f>
        <v>19500</v>
      </c>
      <c r="K7" s="41">
        <f t="shared" ref="K7:K38" si="0">H7+I7+J7</f>
        <v>91650</v>
      </c>
      <c r="L7" s="35">
        <v>20</v>
      </c>
      <c r="M7" s="42">
        <v>0</v>
      </c>
      <c r="N7" s="43">
        <f>SUMIF('DATABASE TRANSAKSI'!C:C,'BASED DATA'!G7,'DATABASE TRANSAKSI'!E:E)</f>
        <v>0</v>
      </c>
      <c r="O7" s="44">
        <f>L7+M7-N7</f>
        <v>20</v>
      </c>
    </row>
    <row r="8" spans="1:15" ht="17.25" customHeight="1" x14ac:dyDescent="0.25">
      <c r="A8" s="1">
        <v>2</v>
      </c>
      <c r="B8" s="5" t="str">
        <f>CONCATENATE(C8,"00",LEFT(E8,1),"-",D8)</f>
        <v>GP001-2</v>
      </c>
      <c r="C8" s="5" t="str">
        <f>VLOOKUP(G8,'KODE ITEM'!B4:C54,2,FALSE)</f>
        <v>GP</v>
      </c>
      <c r="D8" s="5">
        <f t="shared" ref="D8:D56" si="1">IF(F8&lt;&gt;F7,1,D7+1)</f>
        <v>2</v>
      </c>
      <c r="E8" s="5" t="s">
        <v>55</v>
      </c>
      <c r="F8" s="34" t="s">
        <v>65</v>
      </c>
      <c r="G8" s="38" t="s">
        <v>3</v>
      </c>
      <c r="H8" s="45">
        <v>14000</v>
      </c>
      <c r="I8" s="46">
        <f>H8*I6</f>
        <v>1540</v>
      </c>
      <c r="J8" s="46">
        <f>H8*J6</f>
        <v>4200</v>
      </c>
      <c r="K8" s="46">
        <f t="shared" si="0"/>
        <v>19740</v>
      </c>
      <c r="L8" s="35">
        <v>40</v>
      </c>
      <c r="M8" s="42">
        <v>0</v>
      </c>
      <c r="N8" s="43">
        <f>SUMIF('DATABASE TRANSAKSI'!C:C,'BASED DATA'!G8,'DATABASE TRANSAKSI'!E:E)</f>
        <v>0</v>
      </c>
      <c r="O8" s="44">
        <f t="shared" ref="O8:O56" si="2">L8+M8-N8</f>
        <v>40</v>
      </c>
    </row>
    <row r="9" spans="1:15" x14ac:dyDescent="0.25">
      <c r="A9" s="1">
        <v>3</v>
      </c>
      <c r="B9" s="5" t="str">
        <f>CONCATENATE(C9,"00",LEFT(E9,2),"-",D9)</f>
        <v>MG0030-3</v>
      </c>
      <c r="C9" s="5" t="str">
        <f>VLOOKUP(G9,'KODE ITEM'!B5:C55,2,FALSE)</f>
        <v>MG</v>
      </c>
      <c r="D9" s="5">
        <f t="shared" si="1"/>
        <v>3</v>
      </c>
      <c r="E9" s="5" t="s">
        <v>72</v>
      </c>
      <c r="F9" s="33" t="s">
        <v>65</v>
      </c>
      <c r="G9" s="38" t="s">
        <v>4</v>
      </c>
      <c r="H9" s="40">
        <v>16000</v>
      </c>
      <c r="I9" s="41">
        <f>H9*I6</f>
        <v>1760</v>
      </c>
      <c r="J9" s="41">
        <f>H9*J6</f>
        <v>4800</v>
      </c>
      <c r="K9" s="41">
        <f t="shared" si="0"/>
        <v>22560</v>
      </c>
      <c r="L9" s="35">
        <v>50</v>
      </c>
      <c r="M9" s="42">
        <v>0</v>
      </c>
      <c r="N9" s="43">
        <f>SUMIF('DATABASE TRANSAKSI'!C:C,'BASED DATA'!G9,'DATABASE TRANSAKSI'!E:E)</f>
        <v>0</v>
      </c>
      <c r="O9" s="44">
        <f t="shared" si="2"/>
        <v>50</v>
      </c>
    </row>
    <row r="10" spans="1:15" x14ac:dyDescent="0.25">
      <c r="A10" s="1">
        <v>4</v>
      </c>
      <c r="B10" s="5" t="str">
        <f>CONCATENATE(C10,"00",LEFT(E10,2),"-",D10)</f>
        <v>TT0080-4</v>
      </c>
      <c r="C10" s="5" t="str">
        <f>VLOOKUP(G10,'KODE ITEM'!B6:C56,2,FALSE)</f>
        <v>TT</v>
      </c>
      <c r="D10" s="5">
        <f t="shared" si="1"/>
        <v>4</v>
      </c>
      <c r="E10" s="5" t="s">
        <v>73</v>
      </c>
      <c r="F10" s="33" t="s">
        <v>65</v>
      </c>
      <c r="G10" s="38" t="s">
        <v>5</v>
      </c>
      <c r="H10" s="40">
        <v>10000</v>
      </c>
      <c r="I10" s="41">
        <f>H10*I6</f>
        <v>1100</v>
      </c>
      <c r="J10" s="41">
        <f>H10*J6</f>
        <v>3000</v>
      </c>
      <c r="K10" s="41">
        <f t="shared" si="0"/>
        <v>14100</v>
      </c>
      <c r="L10" s="35">
        <v>40</v>
      </c>
      <c r="M10" s="42">
        <v>0</v>
      </c>
      <c r="N10" s="43">
        <f>SUMIF('DATABASE TRANSAKSI'!C:C,'BASED DATA'!G10,'DATABASE TRANSAKSI'!E:E)</f>
        <v>0</v>
      </c>
      <c r="O10" s="44">
        <f t="shared" si="2"/>
        <v>40</v>
      </c>
    </row>
    <row r="11" spans="1:15" x14ac:dyDescent="0.25">
      <c r="A11" s="1">
        <v>5</v>
      </c>
      <c r="B11" s="5" t="str">
        <f>CONCATENATE(C11,"00",LEFT(E11,2),"-",D11)</f>
        <v>TA0050-5</v>
      </c>
      <c r="C11" s="5" t="str">
        <f>VLOOKUP(G11,'KODE ITEM'!B2:C52,2,FALSE)</f>
        <v>TA</v>
      </c>
      <c r="D11" s="5">
        <f t="shared" si="1"/>
        <v>5</v>
      </c>
      <c r="E11" s="5" t="s">
        <v>71</v>
      </c>
      <c r="F11" s="33" t="s">
        <v>65</v>
      </c>
      <c r="G11" s="38" t="s">
        <v>8</v>
      </c>
      <c r="H11" s="40">
        <v>2000</v>
      </c>
      <c r="I11" s="41">
        <f>H11*I6</f>
        <v>220</v>
      </c>
      <c r="J11" s="41">
        <f>H11*J6</f>
        <v>600</v>
      </c>
      <c r="K11" s="41">
        <f t="shared" si="0"/>
        <v>2820</v>
      </c>
      <c r="L11" s="35">
        <v>300</v>
      </c>
      <c r="M11" s="42">
        <v>0</v>
      </c>
      <c r="N11" s="43">
        <f>SUMIF('DATABASE TRANSAKSI'!C:C,'BASED DATA'!G11,'DATABASE TRANSAKSI'!E:E)</f>
        <v>0</v>
      </c>
      <c r="O11" s="44">
        <f t="shared" si="2"/>
        <v>300</v>
      </c>
    </row>
    <row r="12" spans="1:15" x14ac:dyDescent="0.25">
      <c r="A12" s="1">
        <v>6</v>
      </c>
      <c r="B12" s="5" t="str">
        <f>CONCATENATE(C12,"00",LEFT(E12,2),"-",D12)</f>
        <v>MI0080-6</v>
      </c>
      <c r="C12" s="5" t="str">
        <f>VLOOKUP(G12,'KODE ITEM'!B2:C53,2,FALSE)</f>
        <v>MI</v>
      </c>
      <c r="D12" s="5">
        <f t="shared" si="1"/>
        <v>6</v>
      </c>
      <c r="E12" s="5" t="s">
        <v>73</v>
      </c>
      <c r="F12" s="33" t="s">
        <v>65</v>
      </c>
      <c r="G12" s="38" t="s">
        <v>7</v>
      </c>
      <c r="H12" s="40">
        <v>3500</v>
      </c>
      <c r="I12" s="41">
        <f>H12*I6</f>
        <v>385</v>
      </c>
      <c r="J12" s="41">
        <f>H12*J6</f>
        <v>1050</v>
      </c>
      <c r="K12" s="41">
        <f t="shared" si="0"/>
        <v>4935</v>
      </c>
      <c r="L12" s="35">
        <v>120</v>
      </c>
      <c r="M12" s="42">
        <v>0</v>
      </c>
      <c r="N12" s="43">
        <f>SUMIF('DATABASE TRANSAKSI'!C:C,'BASED DATA'!G12,'DATABASE TRANSAKSI'!E:E)</f>
        <v>0</v>
      </c>
      <c r="O12" s="44">
        <f t="shared" si="2"/>
        <v>120</v>
      </c>
    </row>
    <row r="13" spans="1:15" x14ac:dyDescent="0.25">
      <c r="A13" s="1">
        <v>7</v>
      </c>
      <c r="B13" s="5" t="str">
        <f>CONCATENATE(C13,"00",LEFT(E13,3),"-",D13)</f>
        <v>RT00400-7</v>
      </c>
      <c r="C13" s="5" t="str">
        <f>VLOOKUP(G13,'KODE ITEM'!B2:C53,2,FALSE)</f>
        <v>RT</v>
      </c>
      <c r="D13" s="5">
        <f t="shared" si="1"/>
        <v>7</v>
      </c>
      <c r="E13" s="5" t="s">
        <v>75</v>
      </c>
      <c r="F13" s="33" t="s">
        <v>65</v>
      </c>
      <c r="G13" s="38" t="s">
        <v>11</v>
      </c>
      <c r="H13" s="40">
        <v>15000</v>
      </c>
      <c r="I13" s="41">
        <f>H13*I6</f>
        <v>1650</v>
      </c>
      <c r="J13" s="41">
        <f>H13*J6</f>
        <v>4500</v>
      </c>
      <c r="K13" s="41">
        <f t="shared" si="0"/>
        <v>21150</v>
      </c>
      <c r="L13" s="35">
        <v>20</v>
      </c>
      <c r="M13" s="42">
        <v>0</v>
      </c>
      <c r="N13" s="43">
        <f>SUMIF('DATABASE TRANSAKSI'!C:C,'BASED DATA'!G13,'DATABASE TRANSAKSI'!E:E)</f>
        <v>0</v>
      </c>
      <c r="O13" s="44">
        <f t="shared" si="2"/>
        <v>20</v>
      </c>
    </row>
    <row r="14" spans="1:15" x14ac:dyDescent="0.25">
      <c r="A14" s="1">
        <v>8</v>
      </c>
      <c r="B14" s="5" t="str">
        <f>CONCATENATE(C14,"00",LEFT(E14,3),"-",D14)</f>
        <v>SC00200-1</v>
      </c>
      <c r="C14" s="5" t="str">
        <f>VLOOKUP(G14,'KODE ITEM'!B2:C52,2,FALSE)</f>
        <v>SC</v>
      </c>
      <c r="D14" s="5">
        <f t="shared" si="1"/>
        <v>1</v>
      </c>
      <c r="E14" s="5" t="s">
        <v>76</v>
      </c>
      <c r="F14" s="33" t="s">
        <v>66</v>
      </c>
      <c r="G14" s="38" t="s">
        <v>12</v>
      </c>
      <c r="H14" s="40">
        <v>5000</v>
      </c>
      <c r="I14" s="41">
        <f>H14*I6</f>
        <v>550</v>
      </c>
      <c r="J14" s="41">
        <f>H14*J6</f>
        <v>1500</v>
      </c>
      <c r="K14" s="41">
        <f t="shared" si="0"/>
        <v>7050</v>
      </c>
      <c r="L14" s="35">
        <v>240</v>
      </c>
      <c r="M14" s="42">
        <v>0</v>
      </c>
      <c r="N14" s="43">
        <f>SUMIF('DATABASE TRANSAKSI'!C:C,'BASED DATA'!G14,'DATABASE TRANSAKSI'!E:E)</f>
        <v>0</v>
      </c>
      <c r="O14" s="44">
        <f t="shared" si="2"/>
        <v>240</v>
      </c>
    </row>
    <row r="15" spans="1:15" x14ac:dyDescent="0.25">
      <c r="A15" s="1">
        <v>9</v>
      </c>
      <c r="B15" s="5" t="str">
        <f>CONCATENATE(C15,"00",LEFT(E15,2),"-",D15)</f>
        <v>KB0010-1</v>
      </c>
      <c r="C15" s="5" t="str">
        <f>VLOOKUP(G15,'KODE ITEM'!B2:C52,2,FALSE)</f>
        <v>KB</v>
      </c>
      <c r="D15" s="5">
        <f t="shared" si="1"/>
        <v>1</v>
      </c>
      <c r="E15" s="5" t="s">
        <v>77</v>
      </c>
      <c r="F15" s="33" t="s">
        <v>65</v>
      </c>
      <c r="G15" s="38" t="s">
        <v>13</v>
      </c>
      <c r="H15" s="40">
        <v>3000</v>
      </c>
      <c r="I15" s="41">
        <f>H15*I6</f>
        <v>330</v>
      </c>
      <c r="J15" s="41">
        <f>H15*J6</f>
        <v>900</v>
      </c>
      <c r="K15" s="41">
        <f t="shared" si="0"/>
        <v>4230</v>
      </c>
      <c r="L15" s="35">
        <v>60</v>
      </c>
      <c r="M15" s="42">
        <v>0</v>
      </c>
      <c r="N15" s="43">
        <f>SUMIF('DATABASE TRANSAKSI'!C:C,'BASED DATA'!G15,'DATABASE TRANSAKSI'!E:E)</f>
        <v>0</v>
      </c>
      <c r="O15" s="44">
        <f t="shared" si="2"/>
        <v>60</v>
      </c>
    </row>
    <row r="16" spans="1:15" x14ac:dyDescent="0.25">
      <c r="A16" s="1">
        <v>10</v>
      </c>
      <c r="B16" s="5" t="str">
        <f>CONCATENATE(C16,"00",LEFT(E16,2),"-",D16)</f>
        <v>TC0020-1</v>
      </c>
      <c r="C16" s="5" t="str">
        <f>VLOOKUP(G16,'KODE ITEM'!B2:C52,2,FALSE)</f>
        <v>TC</v>
      </c>
      <c r="D16" s="5">
        <f t="shared" si="1"/>
        <v>1</v>
      </c>
      <c r="E16" s="5" t="s">
        <v>78</v>
      </c>
      <c r="F16" s="33" t="s">
        <v>66</v>
      </c>
      <c r="G16" s="38" t="s">
        <v>14</v>
      </c>
      <c r="H16" s="40">
        <v>6000</v>
      </c>
      <c r="I16" s="41">
        <f>H16*I6</f>
        <v>660</v>
      </c>
      <c r="J16" s="41">
        <f>H16*J6</f>
        <v>1800</v>
      </c>
      <c r="K16" s="41">
        <f t="shared" si="0"/>
        <v>8460</v>
      </c>
      <c r="L16" s="35">
        <v>50</v>
      </c>
      <c r="M16" s="42">
        <v>0</v>
      </c>
      <c r="N16" s="43">
        <f>SUMIF('DATABASE TRANSAKSI'!C:C,'BASED DATA'!G16,'DATABASE TRANSAKSI'!E:E)</f>
        <v>0</v>
      </c>
      <c r="O16" s="44">
        <f t="shared" si="2"/>
        <v>50</v>
      </c>
    </row>
    <row r="17" spans="1:15" x14ac:dyDescent="0.25">
      <c r="A17" s="1">
        <v>11</v>
      </c>
      <c r="B17" s="5" t="str">
        <f>CONCATENATE(C17,"00",LEFT(E17,1),"-",D17)</f>
        <v>GM001-1</v>
      </c>
      <c r="C17" s="5" t="str">
        <f>VLOOKUP(G17,'KODE ITEM'!B2:C52,2,FALSE)</f>
        <v>GM</v>
      </c>
      <c r="D17" s="5">
        <f t="shared" si="1"/>
        <v>1</v>
      </c>
      <c r="E17" s="5" t="s">
        <v>55</v>
      </c>
      <c r="F17" s="33" t="s">
        <v>65</v>
      </c>
      <c r="G17" s="38" t="s">
        <v>15</v>
      </c>
      <c r="H17" s="40">
        <v>5000</v>
      </c>
      <c r="I17" s="41">
        <f>H17*I6</f>
        <v>550</v>
      </c>
      <c r="J17" s="41">
        <f>H17*J6</f>
        <v>1500</v>
      </c>
      <c r="K17" s="41">
        <f t="shared" si="0"/>
        <v>7050</v>
      </c>
      <c r="L17" s="35">
        <v>20</v>
      </c>
      <c r="M17" s="42">
        <v>0</v>
      </c>
      <c r="N17" s="43">
        <f>SUMIF('DATABASE TRANSAKSI'!C:C,'BASED DATA'!G17,'DATABASE TRANSAKSI'!E:E)</f>
        <v>0</v>
      </c>
      <c r="O17" s="44">
        <f t="shared" si="2"/>
        <v>20</v>
      </c>
    </row>
    <row r="18" spans="1:15" x14ac:dyDescent="0.25">
      <c r="A18" s="1">
        <v>12</v>
      </c>
      <c r="B18" s="5" t="str">
        <f>CONCATENATE(C18,"00",LEFT(E18,3),"-",D18)</f>
        <v>GA00500-2</v>
      </c>
      <c r="C18" s="5" t="str">
        <f>VLOOKUP(G18,'KODE ITEM'!B2:C52,2,FALSE)</f>
        <v>GA</v>
      </c>
      <c r="D18" s="5">
        <f t="shared" si="1"/>
        <v>2</v>
      </c>
      <c r="E18" s="5" t="s">
        <v>79</v>
      </c>
      <c r="F18" s="33" t="s">
        <v>65</v>
      </c>
      <c r="G18" s="38" t="s">
        <v>6</v>
      </c>
      <c r="H18" s="40">
        <v>3000</v>
      </c>
      <c r="I18" s="41">
        <f>H18*I6</f>
        <v>330</v>
      </c>
      <c r="J18" s="41">
        <f>H18*J6</f>
        <v>900</v>
      </c>
      <c r="K18" s="41">
        <f t="shared" si="0"/>
        <v>4230</v>
      </c>
      <c r="L18" s="35">
        <v>50</v>
      </c>
      <c r="M18" s="42">
        <v>0</v>
      </c>
      <c r="N18" s="43">
        <f>SUMIF('DATABASE TRANSAKSI'!C:C,'BASED DATA'!G18,'DATABASE TRANSAKSI'!E:E)</f>
        <v>0</v>
      </c>
      <c r="O18" s="44">
        <f t="shared" si="2"/>
        <v>50</v>
      </c>
    </row>
    <row r="19" spans="1:15" x14ac:dyDescent="0.25">
      <c r="A19" s="1">
        <v>13</v>
      </c>
      <c r="B19" s="5" t="str">
        <f>CONCATENATE(C19,"00",LEFT(E19,3),"-",D19)</f>
        <v>KM00500-3</v>
      </c>
      <c r="C19" s="5" t="str">
        <f>VLOOKUP(G19,'KODE ITEM'!B2:C52,2,FALSE)</f>
        <v>KM</v>
      </c>
      <c r="D19" s="5">
        <f t="shared" si="1"/>
        <v>3</v>
      </c>
      <c r="E19" s="5" t="s">
        <v>80</v>
      </c>
      <c r="F19" s="33" t="s">
        <v>65</v>
      </c>
      <c r="G19" s="38" t="s">
        <v>16</v>
      </c>
      <c r="H19" s="40">
        <v>10000</v>
      </c>
      <c r="I19" s="41">
        <f>H19*I6</f>
        <v>1100</v>
      </c>
      <c r="J19" s="41">
        <f>H19*J6</f>
        <v>3000</v>
      </c>
      <c r="K19" s="41">
        <f t="shared" si="0"/>
        <v>14100</v>
      </c>
      <c r="L19" s="35">
        <v>60</v>
      </c>
      <c r="M19" s="42">
        <v>0</v>
      </c>
      <c r="N19" s="43">
        <f>SUMIF('DATABASE TRANSAKSI'!C:C,'BASED DATA'!G19,'DATABASE TRANSAKSI'!E:E)</f>
        <v>0</v>
      </c>
      <c r="O19" s="44">
        <f t="shared" si="2"/>
        <v>60</v>
      </c>
    </row>
    <row r="20" spans="1:15" x14ac:dyDescent="0.25">
      <c r="A20" s="1">
        <v>14</v>
      </c>
      <c r="B20" s="5" t="str">
        <f>CONCATENATE(C20,"00",LEFT(E20,3),"-",D20)</f>
        <v>SS00300-4</v>
      </c>
      <c r="C20" s="5" t="str">
        <f>VLOOKUP(G20,'KODE ITEM'!B2:C52,2,FALSE)</f>
        <v>SS</v>
      </c>
      <c r="D20" s="5">
        <f t="shared" si="1"/>
        <v>4</v>
      </c>
      <c r="E20" s="5" t="s">
        <v>81</v>
      </c>
      <c r="F20" s="33" t="s">
        <v>65</v>
      </c>
      <c r="G20" s="38" t="s">
        <v>17</v>
      </c>
      <c r="H20" s="40">
        <v>8000</v>
      </c>
      <c r="I20" s="41">
        <f>H20*I6</f>
        <v>880</v>
      </c>
      <c r="J20" s="41">
        <f>H20*J6</f>
        <v>2400</v>
      </c>
      <c r="K20" s="41">
        <f t="shared" si="0"/>
        <v>11280</v>
      </c>
      <c r="L20" s="35">
        <v>60</v>
      </c>
      <c r="M20" s="42">
        <v>0</v>
      </c>
      <c r="N20" s="43">
        <f>SUMIF('DATABASE TRANSAKSI'!C:C,'BASED DATA'!G20,'DATABASE TRANSAKSI'!E:E)</f>
        <v>0</v>
      </c>
      <c r="O20" s="44">
        <f t="shared" si="2"/>
        <v>60</v>
      </c>
    </row>
    <row r="21" spans="1:15" x14ac:dyDescent="0.25">
      <c r="A21" s="1">
        <v>15</v>
      </c>
      <c r="B21" s="5" t="str">
        <f>CONCATENATE(C21,"00",LEFT(E21,2),"-",D21)</f>
        <v>BM0020-5</v>
      </c>
      <c r="C21" s="5" t="str">
        <f>VLOOKUP(G21,'KODE ITEM'!B2:C52,2,FALSE)</f>
        <v>BM</v>
      </c>
      <c r="D21" s="5">
        <f t="shared" si="1"/>
        <v>5</v>
      </c>
      <c r="E21" s="5" t="s">
        <v>82</v>
      </c>
      <c r="F21" s="33" t="s">
        <v>65</v>
      </c>
      <c r="G21" s="38" t="s">
        <v>10</v>
      </c>
      <c r="H21" s="40">
        <v>3000</v>
      </c>
      <c r="I21" s="41">
        <f>H21*I6</f>
        <v>330</v>
      </c>
      <c r="J21" s="41">
        <f>H21*J6</f>
        <v>900</v>
      </c>
      <c r="K21" s="41">
        <f t="shared" si="0"/>
        <v>4230</v>
      </c>
      <c r="L21" s="35">
        <v>60</v>
      </c>
      <c r="M21" s="42">
        <v>0</v>
      </c>
      <c r="N21" s="43">
        <f>SUMIF('DATABASE TRANSAKSI'!C:C,'BASED DATA'!G21,'DATABASE TRANSAKSI'!E:E)</f>
        <v>0</v>
      </c>
      <c r="O21" s="44">
        <f t="shared" si="2"/>
        <v>60</v>
      </c>
    </row>
    <row r="22" spans="1:15" x14ac:dyDescent="0.25">
      <c r="A22" s="1">
        <v>16</v>
      </c>
      <c r="B22" s="5" t="str">
        <f>CONCATENATE(C22,"00",LEFT(E22,3),"-",D22)</f>
        <v>KK00100-6</v>
      </c>
      <c r="C22" s="5" t="str">
        <f>VLOOKUP(G22,'KODE ITEM'!B3:C53,2,FALSE)</f>
        <v>KK</v>
      </c>
      <c r="D22" s="5">
        <f t="shared" si="1"/>
        <v>6</v>
      </c>
      <c r="E22" s="5" t="s">
        <v>74</v>
      </c>
      <c r="F22" s="33" t="s">
        <v>65</v>
      </c>
      <c r="G22" s="38" t="s">
        <v>18</v>
      </c>
      <c r="H22" s="40">
        <v>5000</v>
      </c>
      <c r="I22" s="41">
        <f>H22*I6</f>
        <v>550</v>
      </c>
      <c r="J22" s="41">
        <f>H22*J6</f>
        <v>1500</v>
      </c>
      <c r="K22" s="41">
        <f t="shared" si="0"/>
        <v>7050</v>
      </c>
      <c r="L22" s="35">
        <v>20</v>
      </c>
      <c r="M22" s="42">
        <v>0</v>
      </c>
      <c r="N22" s="43">
        <f>SUMIF('DATABASE TRANSAKSI'!C:C,'BASED DATA'!G22,'DATABASE TRANSAKSI'!E:E)</f>
        <v>0</v>
      </c>
      <c r="O22" s="44">
        <f t="shared" si="2"/>
        <v>20</v>
      </c>
    </row>
    <row r="23" spans="1:15" x14ac:dyDescent="0.25">
      <c r="A23" s="1">
        <v>17</v>
      </c>
      <c r="B23" s="5" t="str">
        <f>CONCATENATE(C23,"00",LEFT(E23,2),"-",D23)</f>
        <v>SK0050-7</v>
      </c>
      <c r="C23" s="5" t="str">
        <f>VLOOKUP(G23,'KODE ITEM'!B4:C54,2,FALSE)</f>
        <v>SK</v>
      </c>
      <c r="D23" s="5">
        <f t="shared" si="1"/>
        <v>7</v>
      </c>
      <c r="E23" s="5" t="s">
        <v>71</v>
      </c>
      <c r="F23" s="33" t="s">
        <v>65</v>
      </c>
      <c r="G23" s="38" t="s">
        <v>19</v>
      </c>
      <c r="H23" s="40">
        <v>5000</v>
      </c>
      <c r="I23" s="41">
        <f>H23*I6</f>
        <v>550</v>
      </c>
      <c r="J23" s="41">
        <f>H23*J6</f>
        <v>1500</v>
      </c>
      <c r="K23" s="41">
        <f t="shared" si="0"/>
        <v>7050</v>
      </c>
      <c r="L23" s="35">
        <v>80</v>
      </c>
      <c r="M23" s="42">
        <v>0</v>
      </c>
      <c r="N23" s="43">
        <f>SUMIF('DATABASE TRANSAKSI'!C:C,'BASED DATA'!G23,'DATABASE TRANSAKSI'!E:E)</f>
        <v>0</v>
      </c>
      <c r="O23" s="44">
        <f t="shared" si="2"/>
        <v>80</v>
      </c>
    </row>
    <row r="24" spans="1:15" x14ac:dyDescent="0.25">
      <c r="A24" s="1">
        <v>18</v>
      </c>
      <c r="B24" s="5" t="str">
        <f>CONCATENATE(C24,"00",LEFT(E24,1),"-",D24)</f>
        <v>PN005-8</v>
      </c>
      <c r="C24" s="5" t="str">
        <f>VLOOKUP(G24,'KODE ITEM'!B5:C55,2,FALSE)</f>
        <v>PN</v>
      </c>
      <c r="D24" s="5">
        <f t="shared" si="1"/>
        <v>8</v>
      </c>
      <c r="E24" s="5" t="s">
        <v>83</v>
      </c>
      <c r="F24" s="33" t="s">
        <v>65</v>
      </c>
      <c r="G24" s="38" t="s">
        <v>20</v>
      </c>
      <c r="H24" s="40">
        <v>2000</v>
      </c>
      <c r="I24" s="41">
        <f>H24*I6</f>
        <v>220</v>
      </c>
      <c r="J24" s="41">
        <f>H24*J6</f>
        <v>600</v>
      </c>
      <c r="K24" s="41">
        <f t="shared" si="0"/>
        <v>2820</v>
      </c>
      <c r="L24" s="35">
        <v>400</v>
      </c>
      <c r="M24" s="42">
        <v>0</v>
      </c>
      <c r="N24" s="43">
        <f>SUMIF('DATABASE TRANSAKSI'!C:C,'BASED DATA'!G24,'DATABASE TRANSAKSI'!E:E)</f>
        <v>0</v>
      </c>
      <c r="O24" s="44">
        <f t="shared" si="2"/>
        <v>400</v>
      </c>
    </row>
    <row r="25" spans="1:15" x14ac:dyDescent="0.25">
      <c r="A25" s="1">
        <v>19</v>
      </c>
      <c r="B25" s="5" t="str">
        <f>CONCATENATE(C25,"00",LEFT(E25,3),"-",D25)</f>
        <v>AN00250-1</v>
      </c>
      <c r="C25" s="5" t="str">
        <f>VLOOKUP(G25,'KODE ITEM'!B6:C56,2,FALSE)</f>
        <v>AN</v>
      </c>
      <c r="D25" s="5">
        <f t="shared" si="1"/>
        <v>1</v>
      </c>
      <c r="E25" s="5" t="s">
        <v>84</v>
      </c>
      <c r="F25" s="33" t="s">
        <v>66</v>
      </c>
      <c r="G25" s="38" t="s">
        <v>9</v>
      </c>
      <c r="H25" s="40">
        <v>3000</v>
      </c>
      <c r="I25" s="41">
        <f>H25*I6</f>
        <v>330</v>
      </c>
      <c r="J25" s="41">
        <f>H25*J6</f>
        <v>900</v>
      </c>
      <c r="K25" s="41">
        <f t="shared" si="0"/>
        <v>4230</v>
      </c>
      <c r="L25" s="35">
        <v>120</v>
      </c>
      <c r="M25" s="42">
        <v>0</v>
      </c>
      <c r="N25" s="43">
        <f>SUMIF('DATABASE TRANSAKSI'!C:C,'BASED DATA'!G25,'DATABASE TRANSAKSI'!E:E)</f>
        <v>0</v>
      </c>
      <c r="O25" s="44">
        <f t="shared" si="2"/>
        <v>120</v>
      </c>
    </row>
    <row r="26" spans="1:15" x14ac:dyDescent="0.25">
      <c r="A26" s="1">
        <v>20</v>
      </c>
      <c r="B26" s="5" t="str">
        <f>CONCATENATE(C26,"00",LEFT(E26,2),"-",D26)</f>
        <v>MK0014-2</v>
      </c>
      <c r="C26" s="5" t="str">
        <f>VLOOKUP(G26,'KODE ITEM'!B7:C57,2,FALSE)</f>
        <v>MK</v>
      </c>
      <c r="D26" s="5">
        <f t="shared" si="1"/>
        <v>2</v>
      </c>
      <c r="E26" s="5" t="s">
        <v>85</v>
      </c>
      <c r="F26" s="33" t="s">
        <v>66</v>
      </c>
      <c r="G26" s="38" t="s">
        <v>21</v>
      </c>
      <c r="H26" s="40">
        <v>2000</v>
      </c>
      <c r="I26" s="41">
        <f>H26*I6</f>
        <v>220</v>
      </c>
      <c r="J26" s="41">
        <f>H26*J6</f>
        <v>600</v>
      </c>
      <c r="K26" s="41">
        <f t="shared" si="0"/>
        <v>2820</v>
      </c>
      <c r="L26" s="35">
        <v>120</v>
      </c>
      <c r="M26" s="42">
        <v>0</v>
      </c>
      <c r="N26" s="43">
        <f>SUMIF('DATABASE TRANSAKSI'!C:C,'BASED DATA'!G26,'DATABASE TRANSAKSI'!E:E)</f>
        <v>0</v>
      </c>
      <c r="O26" s="44">
        <f t="shared" si="2"/>
        <v>120</v>
      </c>
    </row>
    <row r="27" spans="1:15" x14ac:dyDescent="0.25">
      <c r="A27" s="1">
        <v>21</v>
      </c>
      <c r="B27" s="5" t="str">
        <f>CONCATENATE(C27,"00",LEFT(E27,3),"-",D27)</f>
        <v>SM00100-1</v>
      </c>
      <c r="C27" s="5" t="str">
        <f>VLOOKUP(G27,'KODE ITEM'!B8:C58,2,FALSE)</f>
        <v>SM</v>
      </c>
      <c r="D27" s="5">
        <f t="shared" si="1"/>
        <v>1</v>
      </c>
      <c r="E27" s="5" t="s">
        <v>74</v>
      </c>
      <c r="F27" s="33" t="s">
        <v>67</v>
      </c>
      <c r="G27" s="38" t="s">
        <v>22</v>
      </c>
      <c r="H27" s="40">
        <v>4000</v>
      </c>
      <c r="I27" s="41">
        <f>H27*I6</f>
        <v>440</v>
      </c>
      <c r="J27" s="41">
        <f>H27*J6</f>
        <v>1200</v>
      </c>
      <c r="K27" s="41">
        <f t="shared" si="0"/>
        <v>5640</v>
      </c>
      <c r="L27" s="35">
        <v>216</v>
      </c>
      <c r="M27" s="42">
        <v>0</v>
      </c>
      <c r="N27" s="43">
        <f>SUMIF('DATABASE TRANSAKSI'!C:C,'BASED DATA'!G27,'DATABASE TRANSAKSI'!E:E)</f>
        <v>0</v>
      </c>
      <c r="O27" s="44">
        <f t="shared" si="2"/>
        <v>216</v>
      </c>
    </row>
    <row r="28" spans="1:15" x14ac:dyDescent="0.25">
      <c r="A28" s="1">
        <v>22</v>
      </c>
      <c r="B28" s="5" t="str">
        <f>CONCATENATE(C28,"00",LEFT(E28,3),"-",D28)</f>
        <v>SO00200-2</v>
      </c>
      <c r="C28" s="5" t="str">
        <f>VLOOKUP(G28,'KODE ITEM'!B9:C59,2,FALSE)</f>
        <v>SO</v>
      </c>
      <c r="D28" s="5">
        <f t="shared" si="1"/>
        <v>2</v>
      </c>
      <c r="E28" s="5" t="s">
        <v>76</v>
      </c>
      <c r="F28" s="33" t="s">
        <v>67</v>
      </c>
      <c r="G28" s="38" t="s">
        <v>23</v>
      </c>
      <c r="H28" s="40">
        <v>8000</v>
      </c>
      <c r="I28" s="41">
        <f>H28*I6</f>
        <v>880</v>
      </c>
      <c r="J28" s="41">
        <f>H28*J6</f>
        <v>2400</v>
      </c>
      <c r="K28" s="41">
        <f t="shared" si="0"/>
        <v>11280</v>
      </c>
      <c r="L28" s="35">
        <v>55</v>
      </c>
      <c r="M28" s="42">
        <v>0</v>
      </c>
      <c r="N28" s="43">
        <f>SUMIF('DATABASE TRANSAKSI'!C:C,'BASED DATA'!G28,'DATABASE TRANSAKSI'!E:E)</f>
        <v>0</v>
      </c>
      <c r="O28" s="44">
        <f t="shared" si="2"/>
        <v>55</v>
      </c>
    </row>
    <row r="29" spans="1:15" x14ac:dyDescent="0.25">
      <c r="A29" s="1">
        <v>23</v>
      </c>
      <c r="B29" s="5" t="str">
        <f>CONCATENATE(C29,"00",LEFT(E29,3),"-",D29)</f>
        <v>PG00100-3</v>
      </c>
      <c r="C29" s="5" t="str">
        <f>VLOOKUP(G29,'KODE ITEM'!B10:C60,2,FALSE)</f>
        <v>PG</v>
      </c>
      <c r="D29" s="5">
        <f t="shared" si="1"/>
        <v>3</v>
      </c>
      <c r="E29" s="5" t="s">
        <v>74</v>
      </c>
      <c r="F29" s="33" t="s">
        <v>67</v>
      </c>
      <c r="G29" s="38" t="s">
        <v>24</v>
      </c>
      <c r="H29" s="40">
        <v>5500</v>
      </c>
      <c r="I29" s="41">
        <f>H29*I6</f>
        <v>605</v>
      </c>
      <c r="J29" s="41">
        <f>H29*J6</f>
        <v>1650</v>
      </c>
      <c r="K29" s="41">
        <f t="shared" si="0"/>
        <v>7755</v>
      </c>
      <c r="L29" s="35">
        <v>80</v>
      </c>
      <c r="M29" s="42">
        <v>0</v>
      </c>
      <c r="N29" s="43">
        <f>SUMIF('DATABASE TRANSAKSI'!C:C,'BASED DATA'!G29,'DATABASE TRANSAKSI'!E:E)</f>
        <v>0</v>
      </c>
      <c r="O29" s="44">
        <f t="shared" si="2"/>
        <v>80</v>
      </c>
    </row>
    <row r="30" spans="1:15" x14ac:dyDescent="0.25">
      <c r="A30" s="1">
        <v>24</v>
      </c>
      <c r="B30" s="5" t="str">
        <f>CONCATENATE(C30,"00",LEFT(E30,1),"-",D30)</f>
        <v>SG001-4</v>
      </c>
      <c r="C30" s="5" t="str">
        <f>VLOOKUP(G30,'KODE ITEM'!B11:C61,2,FALSE)</f>
        <v>SG</v>
      </c>
      <c r="D30" s="5">
        <f t="shared" si="1"/>
        <v>4</v>
      </c>
      <c r="E30" s="5" t="s">
        <v>57</v>
      </c>
      <c r="F30" s="33" t="s">
        <v>67</v>
      </c>
      <c r="G30" s="38" t="s">
        <v>25</v>
      </c>
      <c r="H30" s="40">
        <v>5000</v>
      </c>
      <c r="I30" s="41">
        <f>H30*I6</f>
        <v>550</v>
      </c>
      <c r="J30" s="41">
        <f>H30*J6</f>
        <v>1500</v>
      </c>
      <c r="K30" s="41">
        <f t="shared" si="0"/>
        <v>7050</v>
      </c>
      <c r="L30" s="35">
        <v>100</v>
      </c>
      <c r="M30" s="42">
        <v>0</v>
      </c>
      <c r="N30" s="43">
        <f>SUMIF('DATABASE TRANSAKSI'!C:C,'BASED DATA'!G30,'DATABASE TRANSAKSI'!E:E)</f>
        <v>0</v>
      </c>
      <c r="O30" s="44">
        <f t="shared" si="2"/>
        <v>100</v>
      </c>
    </row>
    <row r="31" spans="1:15" x14ac:dyDescent="0.25">
      <c r="A31" s="1">
        <v>25</v>
      </c>
      <c r="B31" s="5" t="str">
        <f>CONCATENATE(C31,"00",LEFT(E31,2),"-",D31)</f>
        <v>SB0050-5</v>
      </c>
      <c r="C31" s="5" t="str">
        <f>VLOOKUP(G31,'KODE ITEM'!B12:C62,2,FALSE)</f>
        <v>SB</v>
      </c>
      <c r="D31" s="5">
        <f t="shared" si="1"/>
        <v>5</v>
      </c>
      <c r="E31" s="5" t="s">
        <v>71</v>
      </c>
      <c r="F31" s="33" t="s">
        <v>67</v>
      </c>
      <c r="G31" s="38" t="s">
        <v>26</v>
      </c>
      <c r="H31" s="40">
        <v>3500</v>
      </c>
      <c r="I31" s="41">
        <f>H31*I6</f>
        <v>385</v>
      </c>
      <c r="J31" s="41">
        <f>H31*J6</f>
        <v>1050</v>
      </c>
      <c r="K31" s="41">
        <f t="shared" si="0"/>
        <v>4935</v>
      </c>
      <c r="L31" s="35">
        <v>60</v>
      </c>
      <c r="M31" s="42">
        <v>0</v>
      </c>
      <c r="N31" s="43">
        <f>SUMIF('DATABASE TRANSAKSI'!C:C,'BASED DATA'!G31,'DATABASE TRANSAKSI'!E:E)</f>
        <v>0</v>
      </c>
      <c r="O31" s="44">
        <f t="shared" si="2"/>
        <v>60</v>
      </c>
    </row>
    <row r="32" spans="1:15" x14ac:dyDescent="0.25">
      <c r="A32" s="1">
        <v>26</v>
      </c>
      <c r="B32" s="5" t="str">
        <f>CONCATENATE(C32,"00",LEFT(E32,2),"-",D32)</f>
        <v>DN0050-1</v>
      </c>
      <c r="C32" s="5" t="str">
        <f>VLOOKUP(G32,'KODE ITEM'!B13:C63,2,FALSE)</f>
        <v>DN</v>
      </c>
      <c r="D32" s="5">
        <f t="shared" si="1"/>
        <v>1</v>
      </c>
      <c r="E32" s="5" t="s">
        <v>86</v>
      </c>
      <c r="F32" s="33" t="s">
        <v>68</v>
      </c>
      <c r="G32" s="38" t="s">
        <v>27</v>
      </c>
      <c r="H32" s="40">
        <v>8000</v>
      </c>
      <c r="I32" s="41">
        <f>H32*I6</f>
        <v>880</v>
      </c>
      <c r="J32" s="41">
        <f>H32*J6</f>
        <v>2400</v>
      </c>
      <c r="K32" s="41">
        <f t="shared" si="0"/>
        <v>11280</v>
      </c>
      <c r="L32" s="35">
        <v>70</v>
      </c>
      <c r="M32" s="42">
        <v>0</v>
      </c>
      <c r="N32" s="43">
        <f>SUMIF('DATABASE TRANSAKSI'!C:C,'BASED DATA'!G32,'DATABASE TRANSAKSI'!E:E)</f>
        <v>0</v>
      </c>
      <c r="O32" s="44">
        <f t="shared" si="2"/>
        <v>70</v>
      </c>
    </row>
    <row r="33" spans="1:15" x14ac:dyDescent="0.25">
      <c r="A33" s="1">
        <v>27</v>
      </c>
      <c r="B33" s="5" t="str">
        <f>CONCATENATE(C33,"00",LEFT(E33,1),"-",D33)</f>
        <v>BK005-2</v>
      </c>
      <c r="C33" s="5" t="str">
        <f>VLOOKUP(G33,'KODE ITEM'!B14:C64,2,FALSE)</f>
        <v>BK</v>
      </c>
      <c r="D33" s="5">
        <f t="shared" si="1"/>
        <v>2</v>
      </c>
      <c r="E33" s="5" t="s">
        <v>83</v>
      </c>
      <c r="F33" s="33" t="s">
        <v>68</v>
      </c>
      <c r="G33" s="38" t="s">
        <v>28</v>
      </c>
      <c r="H33" s="40">
        <v>6000</v>
      </c>
      <c r="I33" s="41">
        <f>H33*I6</f>
        <v>660</v>
      </c>
      <c r="J33" s="41">
        <f>H33*J6</f>
        <v>1800</v>
      </c>
      <c r="K33" s="41">
        <f t="shared" si="0"/>
        <v>8460</v>
      </c>
      <c r="L33" s="35">
        <v>45</v>
      </c>
      <c r="M33" s="42">
        <v>0</v>
      </c>
      <c r="N33" s="43">
        <f>SUMIF('DATABASE TRANSAKSI'!C:C,'BASED DATA'!G33,'DATABASE TRANSAKSI'!E:E)</f>
        <v>0</v>
      </c>
      <c r="O33" s="44">
        <f t="shared" si="2"/>
        <v>45</v>
      </c>
    </row>
    <row r="34" spans="1:15" x14ac:dyDescent="0.25">
      <c r="A34" s="1">
        <v>28</v>
      </c>
      <c r="B34" s="5" t="str">
        <f>CONCATENATE(C34,"00",LEFT(E34,3),"-",D34)</f>
        <v>KS00100-3</v>
      </c>
      <c r="C34" s="5" t="str">
        <f>VLOOKUP(G34,'KODE ITEM'!B15:C65,2,FALSE)</f>
        <v>KS</v>
      </c>
      <c r="D34" s="5">
        <f t="shared" si="1"/>
        <v>3</v>
      </c>
      <c r="E34" s="5" t="s">
        <v>74</v>
      </c>
      <c r="F34" s="33" t="s">
        <v>68</v>
      </c>
      <c r="G34" s="38" t="s">
        <v>29</v>
      </c>
      <c r="H34" s="40">
        <v>6000</v>
      </c>
      <c r="I34" s="41">
        <f>H34*I6</f>
        <v>660</v>
      </c>
      <c r="J34" s="41">
        <f>H34*J6</f>
        <v>1800</v>
      </c>
      <c r="K34" s="41">
        <f t="shared" si="0"/>
        <v>8460</v>
      </c>
      <c r="L34" s="35">
        <v>65</v>
      </c>
      <c r="M34" s="42">
        <v>0</v>
      </c>
      <c r="N34" s="43">
        <f>SUMIF('DATABASE TRANSAKSI'!C:C,'BASED DATA'!G34,'DATABASE TRANSAKSI'!E:E)</f>
        <v>0</v>
      </c>
      <c r="O34" s="44">
        <f t="shared" si="2"/>
        <v>65</v>
      </c>
    </row>
    <row r="35" spans="1:15" x14ac:dyDescent="0.25">
      <c r="A35" s="1">
        <v>29</v>
      </c>
      <c r="B35" s="5" t="str">
        <f>CONCATENATE(C35,"00",LEFT(E35,2),"-",D35)</f>
        <v>PW0012-4</v>
      </c>
      <c r="C35" s="5" t="str">
        <f>VLOOKUP(G35,'KODE ITEM'!B16:C66,2,FALSE)</f>
        <v>PW</v>
      </c>
      <c r="D35" s="5">
        <f t="shared" si="1"/>
        <v>4</v>
      </c>
      <c r="E35" s="5" t="s">
        <v>87</v>
      </c>
      <c r="F35" s="33" t="s">
        <v>68</v>
      </c>
      <c r="G35" s="38" t="s">
        <v>30</v>
      </c>
      <c r="H35" s="40">
        <v>9000</v>
      </c>
      <c r="I35" s="41">
        <f>H35*I6</f>
        <v>990</v>
      </c>
      <c r="J35" s="41">
        <f>H35*J6</f>
        <v>2700</v>
      </c>
      <c r="K35" s="41">
        <f t="shared" si="0"/>
        <v>12690</v>
      </c>
      <c r="L35" s="35">
        <v>80</v>
      </c>
      <c r="M35" s="42">
        <v>0</v>
      </c>
      <c r="N35" s="43">
        <f>SUMIF('DATABASE TRANSAKSI'!C:C,'BASED DATA'!G35,'DATABASE TRANSAKSI'!E:E)</f>
        <v>0</v>
      </c>
      <c r="O35" s="44">
        <f t="shared" si="2"/>
        <v>80</v>
      </c>
    </row>
    <row r="36" spans="1:15" x14ac:dyDescent="0.25">
      <c r="A36" s="1">
        <v>30</v>
      </c>
      <c r="B36" s="5" t="str">
        <f>CONCATENATE(C36,"00",LEFT(E36,2),"-",D36)</f>
        <v>TE0050-5</v>
      </c>
      <c r="C36" s="5" t="str">
        <f>VLOOKUP(G36,'KODE ITEM'!B17:C67,2,FALSE)</f>
        <v>TE</v>
      </c>
      <c r="D36" s="5">
        <f t="shared" si="1"/>
        <v>5</v>
      </c>
      <c r="E36" s="5" t="s">
        <v>88</v>
      </c>
      <c r="F36" s="33" t="s">
        <v>68</v>
      </c>
      <c r="G36" s="38" t="s">
        <v>31</v>
      </c>
      <c r="H36" s="40">
        <v>5000</v>
      </c>
      <c r="I36" s="41">
        <f>H36*I6</f>
        <v>550</v>
      </c>
      <c r="J36" s="41">
        <f>H36*J6</f>
        <v>1500</v>
      </c>
      <c r="K36" s="41">
        <f t="shared" si="0"/>
        <v>7050</v>
      </c>
      <c r="L36" s="35">
        <v>100</v>
      </c>
      <c r="M36" s="42">
        <v>0</v>
      </c>
      <c r="N36" s="43">
        <f>SUMIF('DATABASE TRANSAKSI'!C:C,'BASED DATA'!G36,'DATABASE TRANSAKSI'!E:E)</f>
        <v>0</v>
      </c>
      <c r="O36" s="44">
        <f t="shared" si="2"/>
        <v>100</v>
      </c>
    </row>
    <row r="37" spans="1:15" x14ac:dyDescent="0.25">
      <c r="A37" s="1">
        <v>31</v>
      </c>
      <c r="B37" s="5" t="str">
        <f>CONCATENATE(C37,"00",LEFT(E37,3),"-",D37)</f>
        <v>DB00500-1</v>
      </c>
      <c r="C37" s="5" t="str">
        <f>VLOOKUP(G37,'KODE ITEM'!B18:C68,2,FALSE)</f>
        <v>DB</v>
      </c>
      <c r="D37" s="5">
        <f t="shared" si="1"/>
        <v>1</v>
      </c>
      <c r="E37" s="5" t="s">
        <v>79</v>
      </c>
      <c r="F37" s="33" t="s">
        <v>32</v>
      </c>
      <c r="G37" s="38" t="s">
        <v>33</v>
      </c>
      <c r="H37" s="40">
        <v>5000</v>
      </c>
      <c r="I37" s="41">
        <f>H37*I6</f>
        <v>550</v>
      </c>
      <c r="J37" s="41">
        <f>H37*J6</f>
        <v>1500</v>
      </c>
      <c r="K37" s="41">
        <f t="shared" si="0"/>
        <v>7050</v>
      </c>
      <c r="L37" s="35">
        <v>40</v>
      </c>
      <c r="M37" s="42">
        <v>0</v>
      </c>
      <c r="N37" s="43">
        <f>SUMIF('DATABASE TRANSAKSI'!C:C,'BASED DATA'!G37,'DATABASE TRANSAKSI'!E:E)</f>
        <v>0</v>
      </c>
      <c r="O37" s="44">
        <f t="shared" si="2"/>
        <v>40</v>
      </c>
    </row>
    <row r="38" spans="1:15" x14ac:dyDescent="0.25">
      <c r="A38" s="1">
        <v>32</v>
      </c>
      <c r="B38" s="5" t="str">
        <f>CONCATENATE(C38,"00",LEFT(E38,3),"-",D38)</f>
        <v>SP00500-2</v>
      </c>
      <c r="C38" s="5" t="str">
        <f>VLOOKUP(G38,'KODE ITEM'!B19:C69,2,FALSE)</f>
        <v>SP</v>
      </c>
      <c r="D38" s="5">
        <f t="shared" si="1"/>
        <v>2</v>
      </c>
      <c r="E38" s="5" t="s">
        <v>80</v>
      </c>
      <c r="F38" s="33" t="s">
        <v>32</v>
      </c>
      <c r="G38" s="38" t="s">
        <v>34</v>
      </c>
      <c r="H38" s="40">
        <v>5000</v>
      </c>
      <c r="I38" s="41">
        <f>H38*I6</f>
        <v>550</v>
      </c>
      <c r="J38" s="41">
        <f>H38*J6</f>
        <v>1500</v>
      </c>
      <c r="K38" s="41">
        <f t="shared" si="0"/>
        <v>7050</v>
      </c>
      <c r="L38" s="35">
        <v>45</v>
      </c>
      <c r="M38" s="42">
        <v>0</v>
      </c>
      <c r="N38" s="43">
        <f>SUMIF('DATABASE TRANSAKSI'!C:C,'BASED DATA'!G38,'DATABASE TRANSAKSI'!E:E)</f>
        <v>0</v>
      </c>
      <c r="O38" s="44">
        <f t="shared" si="2"/>
        <v>45</v>
      </c>
    </row>
    <row r="39" spans="1:15" x14ac:dyDescent="0.25">
      <c r="A39" s="1">
        <v>33</v>
      </c>
      <c r="B39" s="5" t="str">
        <f>CONCATENATE(C39,"00",LEFT(E39,1),"-",D39)</f>
        <v>PL001-3</v>
      </c>
      <c r="C39" s="5" t="str">
        <f>VLOOKUP(G39,'KODE ITEM'!B20:C70,2,FALSE)</f>
        <v>PL</v>
      </c>
      <c r="D39" s="5">
        <f t="shared" si="1"/>
        <v>3</v>
      </c>
      <c r="E39" s="5" t="s">
        <v>56</v>
      </c>
      <c r="F39" s="33" t="s">
        <v>32</v>
      </c>
      <c r="G39" s="38" t="s">
        <v>35</v>
      </c>
      <c r="H39" s="40">
        <v>10000</v>
      </c>
      <c r="I39" s="41">
        <f>H39*I6</f>
        <v>1100</v>
      </c>
      <c r="J39" s="41">
        <f>H39*J6</f>
        <v>3000</v>
      </c>
      <c r="K39" s="41">
        <f t="shared" ref="K39:K56" si="3">H39+I39+J39</f>
        <v>14100</v>
      </c>
      <c r="L39" s="35">
        <v>50</v>
      </c>
      <c r="M39" s="42">
        <v>0</v>
      </c>
      <c r="N39" s="43">
        <f>SUMIF('DATABASE TRANSAKSI'!C:C,'BASED DATA'!G39,'DATABASE TRANSAKSI'!E:E)</f>
        <v>0</v>
      </c>
      <c r="O39" s="44">
        <f t="shared" si="2"/>
        <v>50</v>
      </c>
    </row>
    <row r="40" spans="1:15" x14ac:dyDescent="0.25">
      <c r="A40" s="1">
        <v>34</v>
      </c>
      <c r="B40" s="5" t="str">
        <f>CONCATENATE(C40,"00",LEFT(E40,3),"-",D40)</f>
        <v>PP00500-4</v>
      </c>
      <c r="C40" s="5" t="str">
        <f>VLOOKUP(G40,'KODE ITEM'!B21:C71,2,FALSE)</f>
        <v>PP</v>
      </c>
      <c r="D40" s="5">
        <f t="shared" si="1"/>
        <v>4</v>
      </c>
      <c r="E40" s="5" t="s">
        <v>80</v>
      </c>
      <c r="F40" s="33" t="s">
        <v>32</v>
      </c>
      <c r="G40" s="38" t="s">
        <v>36</v>
      </c>
      <c r="H40" s="40">
        <v>8000</v>
      </c>
      <c r="I40" s="41">
        <f>H40*I6</f>
        <v>880</v>
      </c>
      <c r="J40" s="41">
        <f>H40*J6</f>
        <v>2400</v>
      </c>
      <c r="K40" s="41">
        <f t="shared" si="3"/>
        <v>11280</v>
      </c>
      <c r="L40" s="35">
        <v>100</v>
      </c>
      <c r="M40" s="42">
        <v>0</v>
      </c>
      <c r="N40" s="43">
        <f>SUMIF('DATABASE TRANSAKSI'!C:C,'BASED DATA'!G40,'DATABASE TRANSAKSI'!E:E)</f>
        <v>0</v>
      </c>
      <c r="O40" s="44">
        <f t="shared" si="2"/>
        <v>100</v>
      </c>
    </row>
    <row r="41" spans="1:15" x14ac:dyDescent="0.25">
      <c r="A41" s="1">
        <v>35</v>
      </c>
      <c r="B41" s="5" t="str">
        <f>CONCATENATE(C41,"00",LEFT(E41,1),"-",D41)</f>
        <v>SL001-5</v>
      </c>
      <c r="C41" s="5" t="str">
        <f>VLOOKUP(G41,'KODE ITEM'!B22:C72,2,FALSE)</f>
        <v>SL</v>
      </c>
      <c r="D41" s="5">
        <f t="shared" si="1"/>
        <v>5</v>
      </c>
      <c r="E41" s="5" t="s">
        <v>57</v>
      </c>
      <c r="F41" s="33" t="s">
        <v>32</v>
      </c>
      <c r="G41" s="38" t="s">
        <v>37</v>
      </c>
      <c r="H41" s="40">
        <v>3000</v>
      </c>
      <c r="I41" s="41">
        <f>H41*I6</f>
        <v>330</v>
      </c>
      <c r="J41" s="41">
        <f>H41*J6</f>
        <v>900</v>
      </c>
      <c r="K41" s="41">
        <f t="shared" si="3"/>
        <v>4230</v>
      </c>
      <c r="L41" s="35">
        <v>95</v>
      </c>
      <c r="M41" s="42">
        <v>0</v>
      </c>
      <c r="N41" s="43">
        <f>SUMIF('DATABASE TRANSAKSI'!C:C,'BASED DATA'!G41,'DATABASE TRANSAKSI'!E:E)</f>
        <v>0</v>
      </c>
      <c r="O41" s="44">
        <f t="shared" si="2"/>
        <v>95</v>
      </c>
    </row>
    <row r="42" spans="1:15" x14ac:dyDescent="0.25">
      <c r="A42" s="1">
        <v>36</v>
      </c>
      <c r="B42" s="5" t="str">
        <f>CONCATENATE(C42,"00",LEFT(E42,1),"-",D42)</f>
        <v>GK001-6</v>
      </c>
      <c r="C42" s="5" t="str">
        <f>VLOOKUP(G42,'KODE ITEM'!B23:C73,2,FALSE)</f>
        <v>GK</v>
      </c>
      <c r="D42" s="5">
        <f t="shared" si="1"/>
        <v>6</v>
      </c>
      <c r="E42" s="5" t="s">
        <v>57</v>
      </c>
      <c r="F42" s="33" t="s">
        <v>32</v>
      </c>
      <c r="G42" s="38" t="s">
        <v>38</v>
      </c>
      <c r="H42" s="40">
        <v>15000</v>
      </c>
      <c r="I42" s="41">
        <f>H42*I6</f>
        <v>1650</v>
      </c>
      <c r="J42" s="41">
        <f>H42*J6</f>
        <v>4500</v>
      </c>
      <c r="K42" s="41">
        <f t="shared" si="3"/>
        <v>21150</v>
      </c>
      <c r="L42" s="35">
        <v>50</v>
      </c>
      <c r="M42" s="42">
        <v>0</v>
      </c>
      <c r="N42" s="43">
        <f>SUMIF('DATABASE TRANSAKSI'!C:C,'BASED DATA'!G42,'DATABASE TRANSAKSI'!E:E)</f>
        <v>0</v>
      </c>
      <c r="O42" s="44">
        <f t="shared" si="2"/>
        <v>50</v>
      </c>
    </row>
    <row r="43" spans="1:15" x14ac:dyDescent="0.25">
      <c r="A43" s="1">
        <v>37</v>
      </c>
      <c r="B43" s="5" t="str">
        <f>CONCATENATE(C43,"00",LEFT(E43,2),"-",D43)</f>
        <v>TI0010-7</v>
      </c>
      <c r="C43" s="5" t="str">
        <f>VLOOKUP(G43,'KODE ITEM'!B24:C74,2,FALSE)</f>
        <v>TI</v>
      </c>
      <c r="D43" s="5">
        <f t="shared" si="1"/>
        <v>7</v>
      </c>
      <c r="E43" s="5" t="s">
        <v>89</v>
      </c>
      <c r="F43" s="33" t="s">
        <v>32</v>
      </c>
      <c r="G43" s="38" t="s">
        <v>39</v>
      </c>
      <c r="H43" s="40">
        <v>12000</v>
      </c>
      <c r="I43" s="41">
        <f>H43*I6</f>
        <v>1320</v>
      </c>
      <c r="J43" s="41">
        <f>H43*J6</f>
        <v>3600</v>
      </c>
      <c r="K43" s="41">
        <f t="shared" si="3"/>
        <v>16920</v>
      </c>
      <c r="L43" s="35">
        <v>20</v>
      </c>
      <c r="M43" s="42">
        <v>0</v>
      </c>
      <c r="N43" s="43">
        <f>SUMIF('DATABASE TRANSAKSI'!C:C,'BASED DATA'!G43,'DATABASE TRANSAKSI'!E:E)</f>
        <v>0</v>
      </c>
      <c r="O43" s="44">
        <f t="shared" si="2"/>
        <v>20</v>
      </c>
    </row>
    <row r="44" spans="1:15" x14ac:dyDescent="0.25">
      <c r="A44" s="1">
        <v>38</v>
      </c>
      <c r="B44" s="5" t="str">
        <f t="shared" ref="B44:B52" si="4">CONCATENATE(C44,"00",LEFT(E44,1),"-",D44)</f>
        <v>JB001-8</v>
      </c>
      <c r="C44" s="5" t="str">
        <f>VLOOKUP(G44,'KODE ITEM'!B25:C75,2,FALSE)</f>
        <v>JB</v>
      </c>
      <c r="D44" s="5">
        <f t="shared" si="1"/>
        <v>8</v>
      </c>
      <c r="E44" s="5" t="s">
        <v>59</v>
      </c>
      <c r="F44" s="33" t="s">
        <v>32</v>
      </c>
      <c r="G44" s="38" t="s">
        <v>40</v>
      </c>
      <c r="H44" s="40">
        <v>5000</v>
      </c>
      <c r="I44" s="41">
        <f>H44*I6</f>
        <v>550</v>
      </c>
      <c r="J44" s="41">
        <f>H44*J6</f>
        <v>1500</v>
      </c>
      <c r="K44" s="41">
        <f t="shared" si="3"/>
        <v>7050</v>
      </c>
      <c r="L44" s="35">
        <v>20</v>
      </c>
      <c r="M44" s="42">
        <v>0</v>
      </c>
      <c r="N44" s="43">
        <f>SUMIF('DATABASE TRANSAKSI'!C:C,'BASED DATA'!G44,'DATABASE TRANSAKSI'!E:E)</f>
        <v>0</v>
      </c>
      <c r="O44" s="44">
        <f t="shared" si="2"/>
        <v>20</v>
      </c>
    </row>
    <row r="45" spans="1:15" x14ac:dyDescent="0.25">
      <c r="A45" s="1">
        <v>39</v>
      </c>
      <c r="B45" s="5" t="str">
        <f t="shared" si="4"/>
        <v>BI001-9</v>
      </c>
      <c r="C45" s="5" t="str">
        <f>VLOOKUP(G45,'KODE ITEM'!B26:C76,2,FALSE)</f>
        <v>BI</v>
      </c>
      <c r="D45" s="5">
        <f t="shared" si="1"/>
        <v>9</v>
      </c>
      <c r="E45" s="5" t="s">
        <v>57</v>
      </c>
      <c r="F45" s="33" t="s">
        <v>32</v>
      </c>
      <c r="G45" s="38" t="s">
        <v>41</v>
      </c>
      <c r="H45" s="40">
        <v>3000</v>
      </c>
      <c r="I45" s="41">
        <f>H45*I6</f>
        <v>330</v>
      </c>
      <c r="J45" s="41">
        <f>H45*J6</f>
        <v>900</v>
      </c>
      <c r="K45" s="41">
        <f t="shared" si="3"/>
        <v>4230</v>
      </c>
      <c r="L45" s="35">
        <v>10</v>
      </c>
      <c r="M45" s="42">
        <v>0</v>
      </c>
      <c r="N45" s="43">
        <f>SUMIF('DATABASE TRANSAKSI'!C:C,'BASED DATA'!G45,'DATABASE TRANSAKSI'!E:E)</f>
        <v>0</v>
      </c>
      <c r="O45" s="44">
        <f t="shared" si="2"/>
        <v>10</v>
      </c>
    </row>
    <row r="46" spans="1:15" x14ac:dyDescent="0.25">
      <c r="A46" s="1">
        <v>40</v>
      </c>
      <c r="B46" s="5" t="str">
        <f t="shared" si="4"/>
        <v>LN001-10</v>
      </c>
      <c r="C46" s="5" t="str">
        <f>VLOOKUP(G46,'KODE ITEM'!B27:C77,2,FALSE)</f>
        <v>LN</v>
      </c>
      <c r="D46" s="5">
        <f t="shared" si="1"/>
        <v>10</v>
      </c>
      <c r="E46" s="5" t="s">
        <v>58</v>
      </c>
      <c r="F46" s="33" t="s">
        <v>32</v>
      </c>
      <c r="G46" s="38" t="s">
        <v>42</v>
      </c>
      <c r="H46" s="40">
        <v>2000</v>
      </c>
      <c r="I46" s="41">
        <f>H46*I6</f>
        <v>220</v>
      </c>
      <c r="J46" s="41">
        <f>H46*J6</f>
        <v>600</v>
      </c>
      <c r="K46" s="41">
        <f t="shared" si="3"/>
        <v>2820</v>
      </c>
      <c r="L46" s="35">
        <v>10</v>
      </c>
      <c r="M46" s="42">
        <v>0</v>
      </c>
      <c r="N46" s="43">
        <f>SUMIF('DATABASE TRANSAKSI'!C:C,'BASED DATA'!G46,'DATABASE TRANSAKSI'!E:E)</f>
        <v>0</v>
      </c>
      <c r="O46" s="44">
        <f t="shared" si="2"/>
        <v>10</v>
      </c>
    </row>
    <row r="47" spans="1:15" x14ac:dyDescent="0.25">
      <c r="A47" s="1">
        <v>41</v>
      </c>
      <c r="B47" s="5" t="str">
        <f t="shared" si="4"/>
        <v>BS001-1</v>
      </c>
      <c r="C47" s="5" t="str">
        <f>VLOOKUP(G47,'KODE ITEM'!B28:C78,2,FALSE)</f>
        <v>BS</v>
      </c>
      <c r="D47" s="5">
        <f t="shared" si="1"/>
        <v>1</v>
      </c>
      <c r="E47" s="5" t="s">
        <v>57</v>
      </c>
      <c r="F47" s="33" t="s">
        <v>69</v>
      </c>
      <c r="G47" s="38" t="s">
        <v>43</v>
      </c>
      <c r="H47" s="40">
        <v>3500</v>
      </c>
      <c r="I47" s="41">
        <f>H47*I6</f>
        <v>385</v>
      </c>
      <c r="J47" s="41">
        <f>H47*J6</f>
        <v>1050</v>
      </c>
      <c r="K47" s="41">
        <f t="shared" si="3"/>
        <v>4935</v>
      </c>
      <c r="L47" s="35">
        <v>25</v>
      </c>
      <c r="M47" s="42">
        <v>0</v>
      </c>
      <c r="N47" s="43">
        <f>SUMIF('DATABASE TRANSAKSI'!C:C,'BASED DATA'!G47,'DATABASE TRANSAKSI'!E:E)</f>
        <v>0</v>
      </c>
      <c r="O47" s="44">
        <f t="shared" si="2"/>
        <v>25</v>
      </c>
    </row>
    <row r="48" spans="1:15" x14ac:dyDescent="0.25">
      <c r="A48" s="1">
        <v>42</v>
      </c>
      <c r="B48" s="5" t="str">
        <f t="shared" si="4"/>
        <v>PU001-1</v>
      </c>
      <c r="C48" s="5" t="str">
        <f>VLOOKUP(G48,'KODE ITEM'!B29:C79,2,FALSE)</f>
        <v>PU</v>
      </c>
      <c r="D48" s="5">
        <f t="shared" si="1"/>
        <v>1</v>
      </c>
      <c r="E48" s="5" t="s">
        <v>57</v>
      </c>
      <c r="F48" s="33" t="s">
        <v>70</v>
      </c>
      <c r="G48" s="38" t="s">
        <v>44</v>
      </c>
      <c r="H48" s="40">
        <v>3000</v>
      </c>
      <c r="I48" s="41">
        <f>H48*I6</f>
        <v>330</v>
      </c>
      <c r="J48" s="41">
        <f>H48*J6</f>
        <v>900</v>
      </c>
      <c r="K48" s="41">
        <f t="shared" si="3"/>
        <v>4230</v>
      </c>
      <c r="L48" s="35">
        <v>20</v>
      </c>
      <c r="M48" s="42">
        <v>0</v>
      </c>
      <c r="N48" s="43">
        <f>SUMIF('DATABASE TRANSAKSI'!C:C,'BASED DATA'!G48,'DATABASE TRANSAKSI'!E:E)</f>
        <v>0</v>
      </c>
      <c r="O48" s="44">
        <f t="shared" si="2"/>
        <v>20</v>
      </c>
    </row>
    <row r="49" spans="1:15" x14ac:dyDescent="0.25">
      <c r="A49" s="1">
        <v>43</v>
      </c>
      <c r="B49" s="5" t="str">
        <f t="shared" si="4"/>
        <v>PE001-2</v>
      </c>
      <c r="C49" s="5" t="str">
        <f>VLOOKUP(G49,'KODE ITEM'!B30:C80,2,FALSE)</f>
        <v>PE</v>
      </c>
      <c r="D49" s="5">
        <f t="shared" si="1"/>
        <v>2</v>
      </c>
      <c r="E49" s="5" t="s">
        <v>57</v>
      </c>
      <c r="F49" s="33" t="s">
        <v>70</v>
      </c>
      <c r="G49" s="38" t="s">
        <v>45</v>
      </c>
      <c r="H49" s="40">
        <v>2000</v>
      </c>
      <c r="I49" s="41">
        <f>H49*I6</f>
        <v>220</v>
      </c>
      <c r="J49" s="41">
        <f>H49*J6</f>
        <v>600</v>
      </c>
      <c r="K49" s="41">
        <f t="shared" si="3"/>
        <v>2820</v>
      </c>
      <c r="L49" s="35">
        <v>20</v>
      </c>
      <c r="M49" s="42">
        <v>0</v>
      </c>
      <c r="N49" s="43">
        <f>SUMIF('DATABASE TRANSAKSI'!C:C,'BASED DATA'!G49,'DATABASE TRANSAKSI'!E:E)</f>
        <v>0</v>
      </c>
      <c r="O49" s="44">
        <f t="shared" si="2"/>
        <v>20</v>
      </c>
    </row>
    <row r="50" spans="1:15" x14ac:dyDescent="0.25">
      <c r="A50" s="1">
        <v>44</v>
      </c>
      <c r="B50" s="5" t="str">
        <f t="shared" si="4"/>
        <v>PR001-1</v>
      </c>
      <c r="C50" s="5" t="str">
        <f>VLOOKUP(G50,'KODE ITEM'!B31:C81,2,FALSE)</f>
        <v>PR</v>
      </c>
      <c r="D50" s="5">
        <f t="shared" si="1"/>
        <v>1</v>
      </c>
      <c r="E50" s="5" t="s">
        <v>57</v>
      </c>
      <c r="F50" s="33" t="s">
        <v>69</v>
      </c>
      <c r="G50" s="38" t="s">
        <v>46</v>
      </c>
      <c r="H50" s="40">
        <v>3000</v>
      </c>
      <c r="I50" s="41">
        <f>H50*I6</f>
        <v>330</v>
      </c>
      <c r="J50" s="41">
        <f>H50*J6</f>
        <v>900</v>
      </c>
      <c r="K50" s="41">
        <f t="shared" si="3"/>
        <v>4230</v>
      </c>
      <c r="L50" s="35">
        <v>20</v>
      </c>
      <c r="M50" s="42">
        <v>0</v>
      </c>
      <c r="N50" s="43">
        <f>SUMIF('DATABASE TRANSAKSI'!C:C,'BASED DATA'!G50,'DATABASE TRANSAKSI'!E:E)</f>
        <v>0</v>
      </c>
      <c r="O50" s="44">
        <f t="shared" si="2"/>
        <v>20</v>
      </c>
    </row>
    <row r="51" spans="1:15" x14ac:dyDescent="0.25">
      <c r="A51" s="1">
        <v>45</v>
      </c>
      <c r="B51" s="5" t="str">
        <f t="shared" si="4"/>
        <v>PH001-2</v>
      </c>
      <c r="C51" s="5" t="str">
        <f>VLOOKUP(G51,'KODE ITEM'!B32:C82,2,FALSE)</f>
        <v>PH</v>
      </c>
      <c r="D51" s="5">
        <f t="shared" si="1"/>
        <v>2</v>
      </c>
      <c r="E51" s="5" t="s">
        <v>57</v>
      </c>
      <c r="F51" s="33" t="s">
        <v>69</v>
      </c>
      <c r="G51" s="38" t="s">
        <v>47</v>
      </c>
      <c r="H51" s="40">
        <v>1000</v>
      </c>
      <c r="I51" s="41">
        <f>H51*I6</f>
        <v>110</v>
      </c>
      <c r="J51" s="41">
        <f>H51*J6</f>
        <v>300</v>
      </c>
      <c r="K51" s="41">
        <f t="shared" si="3"/>
        <v>1410</v>
      </c>
      <c r="L51" s="35">
        <v>20</v>
      </c>
      <c r="M51" s="42">
        <v>0</v>
      </c>
      <c r="N51" s="43">
        <f>SUMIF('DATABASE TRANSAKSI'!C:C,'BASED DATA'!G51,'DATABASE TRANSAKSI'!E:E)</f>
        <v>0</v>
      </c>
      <c r="O51" s="44">
        <f t="shared" si="2"/>
        <v>20</v>
      </c>
    </row>
    <row r="52" spans="1:15" x14ac:dyDescent="0.25">
      <c r="A52" s="8">
        <v>46</v>
      </c>
      <c r="B52" s="5" t="str">
        <f t="shared" si="4"/>
        <v>RN001-3</v>
      </c>
      <c r="C52" s="5" t="str">
        <f>VLOOKUP(G52,'KODE ITEM'!B33:C83,2,FALSE)</f>
        <v>RN</v>
      </c>
      <c r="D52" s="5">
        <f t="shared" si="1"/>
        <v>3</v>
      </c>
      <c r="E52" s="5" t="s">
        <v>57</v>
      </c>
      <c r="F52" s="33" t="s">
        <v>69</v>
      </c>
      <c r="G52" s="38" t="s">
        <v>48</v>
      </c>
      <c r="H52" s="40">
        <v>1000</v>
      </c>
      <c r="I52" s="41">
        <f>H52*I6</f>
        <v>110</v>
      </c>
      <c r="J52" s="41">
        <f>H52*J6</f>
        <v>300</v>
      </c>
      <c r="K52" s="41">
        <f t="shared" si="3"/>
        <v>1410</v>
      </c>
      <c r="L52" s="35">
        <v>20</v>
      </c>
      <c r="M52" s="42">
        <v>0</v>
      </c>
      <c r="N52" s="43">
        <f>SUMIF('DATABASE TRANSAKSI'!C:C,'BASED DATA'!G52,'DATABASE TRANSAKSI'!E:E)</f>
        <v>0</v>
      </c>
      <c r="O52" s="44">
        <f t="shared" si="2"/>
        <v>20</v>
      </c>
    </row>
    <row r="53" spans="1:15" x14ac:dyDescent="0.25">
      <c r="A53" s="1">
        <v>47</v>
      </c>
      <c r="B53" s="5" t="str">
        <f>CONCATENATE(C53,"00",LEFT(E53,2),"-",D53)</f>
        <v>LM0015-4</v>
      </c>
      <c r="C53" s="5" t="str">
        <f>VLOOKUP(G53,'KODE ITEM'!B34:C84,2,FALSE)</f>
        <v>LM</v>
      </c>
      <c r="D53" s="5">
        <f t="shared" si="1"/>
        <v>4</v>
      </c>
      <c r="E53" s="5" t="s">
        <v>90</v>
      </c>
      <c r="F53" s="33" t="s">
        <v>69</v>
      </c>
      <c r="G53" s="38" t="s">
        <v>49</v>
      </c>
      <c r="H53" s="40">
        <v>5000</v>
      </c>
      <c r="I53" s="41">
        <f>H53*I6</f>
        <v>550</v>
      </c>
      <c r="J53" s="41">
        <f>H53*J6</f>
        <v>1500</v>
      </c>
      <c r="K53" s="41">
        <f t="shared" si="3"/>
        <v>7050</v>
      </c>
      <c r="L53" s="35">
        <v>25</v>
      </c>
      <c r="M53" s="42">
        <v>0</v>
      </c>
      <c r="N53" s="43">
        <f>SUMIF('DATABASE TRANSAKSI'!C:C,'BASED DATA'!G53,'DATABASE TRANSAKSI'!E:E)</f>
        <v>0</v>
      </c>
      <c r="O53" s="44">
        <f t="shared" si="2"/>
        <v>25</v>
      </c>
    </row>
    <row r="54" spans="1:15" x14ac:dyDescent="0.25">
      <c r="A54" s="1">
        <v>48</v>
      </c>
      <c r="B54" s="5" t="str">
        <f>CONCATENATE(C54,"00",LEFT(E54,1),"-",D54)</f>
        <v>GG001-5</v>
      </c>
      <c r="C54" s="5" t="str">
        <f>VLOOKUP(G54,'KODE ITEM'!B35:C85,2,FALSE)</f>
        <v>GG</v>
      </c>
      <c r="D54" s="5">
        <f t="shared" si="1"/>
        <v>5</v>
      </c>
      <c r="E54" s="5" t="s">
        <v>57</v>
      </c>
      <c r="F54" s="33" t="s">
        <v>69</v>
      </c>
      <c r="G54" s="38" t="s">
        <v>50</v>
      </c>
      <c r="H54" s="40">
        <v>8000</v>
      </c>
      <c r="I54" s="41">
        <f>H54*I6</f>
        <v>880</v>
      </c>
      <c r="J54" s="41">
        <f>H54*J6</f>
        <v>2400</v>
      </c>
      <c r="K54" s="41">
        <f t="shared" si="3"/>
        <v>11280</v>
      </c>
      <c r="L54" s="35">
        <v>30</v>
      </c>
      <c r="M54" s="42">
        <v>0</v>
      </c>
      <c r="N54" s="43">
        <f>SUMIF('DATABASE TRANSAKSI'!C:C,'BASED DATA'!G54,'DATABASE TRANSAKSI'!E:E)</f>
        <v>0</v>
      </c>
      <c r="O54" s="44">
        <f t="shared" si="2"/>
        <v>30</v>
      </c>
    </row>
    <row r="55" spans="1:15" x14ac:dyDescent="0.25">
      <c r="A55" s="1">
        <v>49</v>
      </c>
      <c r="B55" s="5" t="str">
        <f>CONCATENATE(C55,"00",LEFT(E55,1),"-",D55)</f>
        <v>KV001-6</v>
      </c>
      <c r="C55" s="5" t="str">
        <f>VLOOKUP(G55,'KODE ITEM'!B36:C86,2,FALSE)</f>
        <v>KV</v>
      </c>
      <c r="D55" s="5">
        <f t="shared" si="1"/>
        <v>6</v>
      </c>
      <c r="E55" s="5" t="s">
        <v>60</v>
      </c>
      <c r="F55" s="33" t="s">
        <v>69</v>
      </c>
      <c r="G55" s="38" t="s">
        <v>51</v>
      </c>
      <c r="H55" s="40">
        <v>1000</v>
      </c>
      <c r="I55" s="41">
        <f>H55*I6</f>
        <v>110</v>
      </c>
      <c r="J55" s="41">
        <f>H55*J6</f>
        <v>300</v>
      </c>
      <c r="K55" s="41">
        <f t="shared" si="3"/>
        <v>1410</v>
      </c>
      <c r="L55" s="35">
        <v>5</v>
      </c>
      <c r="M55" s="42">
        <v>0</v>
      </c>
      <c r="N55" s="43">
        <f>SUMIF('DATABASE TRANSAKSI'!C:C,'BASED DATA'!G55,'DATABASE TRANSAKSI'!E:E)</f>
        <v>0</v>
      </c>
      <c r="O55" s="44">
        <f t="shared" si="2"/>
        <v>5</v>
      </c>
    </row>
    <row r="56" spans="1:15" x14ac:dyDescent="0.25">
      <c r="A56" s="1">
        <v>50</v>
      </c>
      <c r="B56" s="5" t="str">
        <f>CONCATENATE(C56,"00",LEFT(E56,1),"-",D56)</f>
        <v>LO001-7</v>
      </c>
      <c r="C56" s="5" t="str">
        <f>VLOOKUP(G56,'KODE ITEM'!B37:C87,2,FALSE)</f>
        <v>LO</v>
      </c>
      <c r="D56" s="5">
        <f t="shared" si="1"/>
        <v>7</v>
      </c>
      <c r="E56" s="5" t="s">
        <v>57</v>
      </c>
      <c r="F56" s="33" t="s">
        <v>69</v>
      </c>
      <c r="G56" s="38" t="s">
        <v>52</v>
      </c>
      <c r="H56" s="40">
        <v>3000</v>
      </c>
      <c r="I56" s="41">
        <f>H56*I6</f>
        <v>330</v>
      </c>
      <c r="J56" s="41">
        <f>H56*J6</f>
        <v>900</v>
      </c>
      <c r="K56" s="41">
        <f t="shared" si="3"/>
        <v>4230</v>
      </c>
      <c r="L56" s="35">
        <v>5</v>
      </c>
      <c r="M56" s="42">
        <v>0</v>
      </c>
      <c r="N56" s="43">
        <f>SUMIF('DATABASE TRANSAKSI'!C:C,'BASED DATA'!G56,'DATABASE TRANSAKSI'!E:E)</f>
        <v>0</v>
      </c>
      <c r="O56" s="44">
        <f t="shared" si="2"/>
        <v>5</v>
      </c>
    </row>
    <row r="57" spans="1:15" x14ac:dyDescent="0.25">
      <c r="A57" s="7"/>
      <c r="N57" s="4"/>
    </row>
    <row r="58" spans="1:15" x14ac:dyDescent="0.25">
      <c r="A58" s="7"/>
      <c r="N58" s="4"/>
    </row>
    <row r="59" spans="1:15" x14ac:dyDescent="0.25">
      <c r="A59" s="7"/>
      <c r="N59" s="4"/>
    </row>
    <row r="60" spans="1:15" x14ac:dyDescent="0.25">
      <c r="A60" s="7"/>
      <c r="N60" s="4"/>
    </row>
    <row r="61" spans="1:15" x14ac:dyDescent="0.25">
      <c r="A61" s="7"/>
      <c r="N61" s="4"/>
    </row>
    <row r="62" spans="1:15" x14ac:dyDescent="0.25">
      <c r="A62" s="7"/>
      <c r="N62" s="4"/>
    </row>
    <row r="63" spans="1:15" x14ac:dyDescent="0.25">
      <c r="N63" s="4"/>
    </row>
    <row r="64" spans="1:15" x14ac:dyDescent="0.25">
      <c r="N64" s="4"/>
    </row>
    <row r="65" spans="1:2" x14ac:dyDescent="0.25">
      <c r="A65" s="2"/>
    </row>
    <row r="68" spans="1:2" x14ac:dyDescent="0.25">
      <c r="B68" s="3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6B0597-1AF3-436E-8992-2FA72C86FC8A}">
  <sheetPr codeName="Sheet3"/>
  <dimension ref="A1:M40"/>
  <sheetViews>
    <sheetView tabSelected="1" topLeftCell="A10" zoomScaleNormal="100" workbookViewId="0">
      <selection activeCell="J23" sqref="J23"/>
    </sheetView>
  </sheetViews>
  <sheetFormatPr defaultRowHeight="15" x14ac:dyDescent="0.25"/>
  <cols>
    <col min="1" max="1" width="12.28515625" customWidth="1"/>
    <col min="2" max="2" width="13.5703125" customWidth="1"/>
    <col min="3" max="3" width="21.85546875" customWidth="1"/>
    <col min="4" max="4" width="14.28515625" customWidth="1"/>
    <col min="5" max="5" width="12.42578125" customWidth="1"/>
    <col min="6" max="6" width="16.5703125" customWidth="1"/>
    <col min="8" max="8" width="22.140625" customWidth="1"/>
    <col min="9" max="9" width="41.5703125" customWidth="1"/>
    <col min="10" max="10" width="15.140625" customWidth="1"/>
    <col min="11" max="11" width="12.140625" customWidth="1"/>
  </cols>
  <sheetData>
    <row r="1" spans="1:11" x14ac:dyDescent="0.25">
      <c r="A1" s="12"/>
      <c r="B1" s="12"/>
      <c r="C1" s="12"/>
      <c r="D1" s="12"/>
      <c r="E1" s="12"/>
      <c r="F1" s="12"/>
      <c r="G1" s="12"/>
      <c r="H1" s="12"/>
      <c r="I1" s="12"/>
      <c r="J1" s="13"/>
      <c r="K1" s="17"/>
    </row>
    <row r="2" spans="1:11" ht="29.25" x14ac:dyDescent="0.5">
      <c r="A2" s="25" t="s">
        <v>160</v>
      </c>
      <c r="B2" s="12"/>
      <c r="C2" s="12"/>
      <c r="D2" s="12"/>
      <c r="E2" s="12"/>
      <c r="F2" s="12"/>
      <c r="G2" s="12"/>
      <c r="H2" s="12"/>
      <c r="I2" s="12"/>
      <c r="J2" s="16" t="s">
        <v>166</v>
      </c>
      <c r="K2" s="18">
        <v>1</v>
      </c>
    </row>
    <row r="3" spans="1:11" x14ac:dyDescent="0.25">
      <c r="A3" s="12"/>
      <c r="B3" s="12"/>
      <c r="C3" s="12"/>
      <c r="D3" s="12"/>
      <c r="E3" s="12"/>
      <c r="F3" s="12"/>
      <c r="G3" s="12"/>
      <c r="H3" s="12"/>
      <c r="I3" s="12"/>
      <c r="J3" s="13"/>
      <c r="K3" s="17"/>
    </row>
    <row r="4" spans="1:11" ht="3.75" customHeight="1" x14ac:dyDescent="0.25"/>
    <row r="5" spans="1:11" x14ac:dyDescent="0.25">
      <c r="A5" s="22"/>
      <c r="B5" s="22"/>
      <c r="C5" s="22"/>
      <c r="D5" s="22"/>
      <c r="E5" s="22"/>
      <c r="F5" s="22"/>
    </row>
    <row r="6" spans="1:11" ht="15.75" x14ac:dyDescent="0.25">
      <c r="A6" s="48" t="s">
        <v>168</v>
      </c>
      <c r="B6" s="22"/>
      <c r="C6" s="22"/>
      <c r="D6" s="22"/>
      <c r="E6" s="22"/>
      <c r="F6" s="22"/>
    </row>
    <row r="7" spans="1:11" x14ac:dyDescent="0.25">
      <c r="A7" s="22"/>
      <c r="B7" s="22"/>
      <c r="C7" s="22"/>
      <c r="D7" s="22"/>
      <c r="E7" s="22"/>
      <c r="F7" s="22"/>
      <c r="H7" s="14" t="s">
        <v>149</v>
      </c>
      <c r="I7" s="19">
        <f ca="1">TODAY()</f>
        <v>45868</v>
      </c>
    </row>
    <row r="8" spans="1:11" x14ac:dyDescent="0.25">
      <c r="A8" s="22"/>
      <c r="B8" s="22"/>
      <c r="C8" s="22"/>
      <c r="D8" s="22"/>
      <c r="E8" s="22"/>
      <c r="F8" s="22"/>
      <c r="H8" s="14" t="s">
        <v>157</v>
      </c>
      <c r="I8" s="20" t="str">
        <f>J2&amp;TEXT(K2,"00000")</f>
        <v>SURYA00001</v>
      </c>
      <c r="J8" s="85">
        <f>SUM(F10:F20)</f>
        <v>0</v>
      </c>
      <c r="K8" s="85"/>
    </row>
    <row r="9" spans="1:11" ht="9" customHeight="1" x14ac:dyDescent="0.25"/>
    <row r="10" spans="1:11" x14ac:dyDescent="0.25">
      <c r="A10" s="23" t="s">
        <v>149</v>
      </c>
      <c r="B10" s="23" t="s">
        <v>150</v>
      </c>
      <c r="C10" s="23" t="s">
        <v>1</v>
      </c>
      <c r="D10" s="23" t="s">
        <v>151</v>
      </c>
      <c r="E10" s="23" t="s">
        <v>152</v>
      </c>
      <c r="F10" s="23" t="s">
        <v>155</v>
      </c>
      <c r="H10" s="21" t="s">
        <v>1</v>
      </c>
      <c r="I10" t="s">
        <v>13</v>
      </c>
    </row>
    <row r="11" spans="1:11" x14ac:dyDescent="0.25">
      <c r="A11" s="5"/>
      <c r="B11" s="5"/>
      <c r="C11" s="5"/>
      <c r="D11" s="5"/>
      <c r="E11" s="5"/>
      <c r="F11" s="5"/>
      <c r="H11" s="14" t="s">
        <v>151</v>
      </c>
      <c r="I11" s="84">
        <f>IFERROR(VLOOKUP(TRANSAKSI!I10,'BASED DATA'!G1:O56,5,0),"")</f>
        <v>4230</v>
      </c>
    </row>
    <row r="12" spans="1:11" x14ac:dyDescent="0.25">
      <c r="A12" s="5"/>
      <c r="B12" s="5"/>
      <c r="C12" s="5"/>
      <c r="D12" s="5"/>
      <c r="E12" s="5"/>
      <c r="F12" s="5"/>
      <c r="H12" s="14" t="s">
        <v>152</v>
      </c>
      <c r="I12">
        <v>0</v>
      </c>
    </row>
    <row r="13" spans="1:11" x14ac:dyDescent="0.25">
      <c r="A13" s="5"/>
      <c r="B13" s="5"/>
      <c r="C13" s="5"/>
      <c r="D13" s="5"/>
      <c r="E13" s="5"/>
      <c r="F13" s="5"/>
      <c r="H13" s="14" t="s">
        <v>156</v>
      </c>
      <c r="I13" s="84">
        <f>IFERROR((I11*I12),"")</f>
        <v>0</v>
      </c>
    </row>
    <row r="14" spans="1:11" x14ac:dyDescent="0.25">
      <c r="A14" s="5"/>
      <c r="B14" s="5"/>
      <c r="C14" s="5"/>
      <c r="D14" s="5"/>
      <c r="E14" s="5"/>
      <c r="F14" s="5"/>
    </row>
    <row r="15" spans="1:11" x14ac:dyDescent="0.25">
      <c r="A15" s="5"/>
      <c r="B15" s="5"/>
      <c r="C15" s="5"/>
      <c r="D15" s="5"/>
      <c r="E15" s="5"/>
      <c r="F15" s="5"/>
      <c r="H15" s="14" t="s">
        <v>158</v>
      </c>
      <c r="I15">
        <f>COUNTA($A$11:$A$1048576)</f>
        <v>4</v>
      </c>
    </row>
    <row r="16" spans="1:11" x14ac:dyDescent="0.25">
      <c r="A16" s="5"/>
      <c r="B16" s="5"/>
      <c r="C16" s="5"/>
      <c r="D16" s="5"/>
      <c r="E16" s="5"/>
      <c r="F16" s="5"/>
    </row>
    <row r="17" spans="1:13" x14ac:dyDescent="0.25">
      <c r="A17" s="5"/>
      <c r="B17" s="5"/>
      <c r="C17" s="5"/>
      <c r="D17" s="5"/>
      <c r="E17" s="5"/>
      <c r="F17" s="5"/>
      <c r="H17" t="s">
        <v>160</v>
      </c>
    </row>
    <row r="18" spans="1:13" x14ac:dyDescent="0.25">
      <c r="A18" s="5"/>
      <c r="B18" s="5"/>
      <c r="C18" s="5"/>
      <c r="D18" s="5"/>
      <c r="E18" s="5"/>
      <c r="F18" s="5"/>
      <c r="H18" t="s">
        <v>179</v>
      </c>
    </row>
    <row r="19" spans="1:13" ht="19.5" customHeight="1" x14ac:dyDescent="0.25">
      <c r="A19" s="5"/>
      <c r="B19" s="5"/>
      <c r="C19" s="5"/>
      <c r="D19" s="5"/>
      <c r="E19" s="5"/>
      <c r="F19" s="5"/>
      <c r="H19" s="88"/>
    </row>
    <row r="20" spans="1:13" ht="16.5" customHeight="1" x14ac:dyDescent="1.35">
      <c r="A20" s="5"/>
      <c r="B20" s="5"/>
      <c r="C20" s="5"/>
      <c r="D20" s="5"/>
      <c r="E20" s="5"/>
      <c r="F20" s="5"/>
      <c r="H20" s="88"/>
      <c r="M20" s="47"/>
    </row>
    <row r="21" spans="1:13" x14ac:dyDescent="0.25">
      <c r="H21" s="88" t="s">
        <v>178</v>
      </c>
      <c r="J21" t="s">
        <v>183</v>
      </c>
    </row>
    <row r="22" spans="1:13" x14ac:dyDescent="0.25">
      <c r="H22" s="88" t="s">
        <v>180</v>
      </c>
    </row>
    <row r="23" spans="1:13" x14ac:dyDescent="0.25">
      <c r="H23" s="89" t="s">
        <v>181</v>
      </c>
      <c r="I23" s="89">
        <v>0</v>
      </c>
      <c r="J23" s="89"/>
      <c r="K23" s="89"/>
    </row>
    <row r="24" spans="1:13" x14ac:dyDescent="0.25">
      <c r="H24" s="90" t="s">
        <v>182</v>
      </c>
      <c r="I24" s="91" t="s">
        <v>1</v>
      </c>
      <c r="J24" s="91" t="s">
        <v>151</v>
      </c>
      <c r="K24" s="91" t="s">
        <v>155</v>
      </c>
      <c r="L24" s="89"/>
    </row>
    <row r="25" spans="1:13" x14ac:dyDescent="0.25">
      <c r="A25" s="23" t="s">
        <v>149</v>
      </c>
      <c r="B25" s="23" t="s">
        <v>150</v>
      </c>
      <c r="C25" s="23" t="s">
        <v>1</v>
      </c>
      <c r="D25" s="23" t="s">
        <v>151</v>
      </c>
      <c r="E25" s="23" t="s">
        <v>152</v>
      </c>
      <c r="F25" s="23" t="s">
        <v>155</v>
      </c>
      <c r="H25" s="5"/>
      <c r="I25" s="5"/>
      <c r="J25" s="5"/>
      <c r="K25" s="5"/>
    </row>
    <row r="26" spans="1:13" x14ac:dyDescent="0.25">
      <c r="A26" s="86">
        <v>45868</v>
      </c>
      <c r="B26" s="5" t="s">
        <v>177</v>
      </c>
      <c r="C26" s="5" t="s">
        <v>4</v>
      </c>
      <c r="D26" s="87">
        <v>22560</v>
      </c>
      <c r="E26" s="5">
        <v>30</v>
      </c>
      <c r="F26" s="87">
        <v>676800</v>
      </c>
      <c r="H26" s="5"/>
      <c r="I26" s="5"/>
      <c r="J26" s="5"/>
      <c r="K26" s="5"/>
    </row>
    <row r="27" spans="1:13" x14ac:dyDescent="0.25">
      <c r="A27" s="86">
        <v>45868</v>
      </c>
      <c r="B27" s="5" t="s">
        <v>177</v>
      </c>
      <c r="C27" s="5" t="s">
        <v>7</v>
      </c>
      <c r="D27" s="87">
        <v>4935</v>
      </c>
      <c r="E27" s="5">
        <v>5</v>
      </c>
      <c r="F27" s="87">
        <v>24675</v>
      </c>
      <c r="H27" s="5"/>
      <c r="I27" s="5"/>
      <c r="J27" s="5"/>
      <c r="K27" s="5"/>
    </row>
    <row r="28" spans="1:13" x14ac:dyDescent="0.25">
      <c r="A28" s="86">
        <v>45868</v>
      </c>
      <c r="B28" s="5" t="s">
        <v>177</v>
      </c>
      <c r="C28" s="5" t="s">
        <v>13</v>
      </c>
      <c r="D28" s="87">
        <v>4230</v>
      </c>
      <c r="E28" s="5">
        <v>10</v>
      </c>
      <c r="F28" s="87">
        <v>42300</v>
      </c>
      <c r="H28" s="5"/>
      <c r="I28" s="5"/>
      <c r="J28" s="5"/>
      <c r="K28" s="5"/>
    </row>
    <row r="29" spans="1:13" x14ac:dyDescent="0.25">
      <c r="A29" s="5"/>
      <c r="B29" s="5"/>
      <c r="C29" s="5"/>
      <c r="D29" s="5"/>
      <c r="E29" s="5"/>
      <c r="F29" s="5"/>
      <c r="H29" s="5"/>
      <c r="I29" s="5"/>
      <c r="J29" s="5"/>
      <c r="K29" s="5"/>
    </row>
    <row r="30" spans="1:13" x14ac:dyDescent="0.25">
      <c r="A30" s="5"/>
      <c r="B30" s="5"/>
      <c r="C30" s="5"/>
      <c r="D30" s="5"/>
      <c r="E30" s="5"/>
      <c r="F30" s="5"/>
      <c r="H30" s="5"/>
      <c r="I30" s="5"/>
      <c r="J30" s="5"/>
      <c r="K30" s="5"/>
    </row>
    <row r="31" spans="1:13" x14ac:dyDescent="0.25">
      <c r="A31" s="5"/>
      <c r="B31" s="5"/>
      <c r="C31" s="5"/>
      <c r="D31" s="5"/>
      <c r="E31" s="5"/>
      <c r="F31" s="5"/>
      <c r="H31" s="5"/>
      <c r="I31" s="5"/>
      <c r="J31" s="5"/>
      <c r="K31" s="5"/>
    </row>
    <row r="32" spans="1:13" x14ac:dyDescent="0.25">
      <c r="A32" s="5"/>
      <c r="B32" s="5"/>
      <c r="C32" s="5"/>
      <c r="D32" s="5"/>
      <c r="E32" s="5"/>
      <c r="F32" s="5"/>
      <c r="H32" s="5"/>
      <c r="I32" s="5"/>
      <c r="J32" s="5"/>
      <c r="K32" s="5"/>
    </row>
    <row r="33" spans="1:11" x14ac:dyDescent="0.25">
      <c r="A33" s="5"/>
      <c r="B33" s="5"/>
      <c r="C33" s="5"/>
      <c r="D33" s="5"/>
      <c r="E33" s="5"/>
      <c r="F33" s="5"/>
      <c r="H33" s="5"/>
      <c r="I33" s="5"/>
      <c r="J33" s="5"/>
      <c r="K33" s="5"/>
    </row>
    <row r="34" spans="1:11" x14ac:dyDescent="0.25">
      <c r="A34" s="5"/>
      <c r="B34" s="5"/>
      <c r="C34" s="5"/>
      <c r="D34" s="5"/>
      <c r="E34" s="5"/>
      <c r="F34" s="5"/>
      <c r="H34" s="5"/>
      <c r="I34" s="5"/>
      <c r="J34" s="5"/>
      <c r="K34" s="5"/>
    </row>
    <row r="35" spans="1:11" x14ac:dyDescent="0.25">
      <c r="A35" s="5"/>
      <c r="B35" s="5"/>
      <c r="C35" s="5"/>
      <c r="D35" s="5"/>
      <c r="E35" s="5"/>
      <c r="F35" s="5"/>
      <c r="H35" s="5"/>
      <c r="I35" s="5"/>
      <c r="J35" s="5"/>
      <c r="K35" s="5"/>
    </row>
    <row r="36" spans="1:11" x14ac:dyDescent="0.25">
      <c r="A36" s="5"/>
      <c r="B36" s="5"/>
      <c r="C36" s="5"/>
      <c r="D36" s="5"/>
      <c r="E36" s="5"/>
      <c r="F36" s="5"/>
      <c r="H36" s="5"/>
      <c r="I36" s="5"/>
      <c r="J36" s="5"/>
      <c r="K36" s="5"/>
    </row>
    <row r="37" spans="1:11" x14ac:dyDescent="0.25">
      <c r="A37" s="5"/>
      <c r="B37" s="5"/>
      <c r="C37" s="5"/>
      <c r="D37" s="5"/>
      <c r="E37" s="5"/>
      <c r="F37" s="5"/>
      <c r="H37" s="5"/>
      <c r="I37" s="5"/>
      <c r="J37" s="5"/>
      <c r="K37" s="5"/>
    </row>
    <row r="38" spans="1:11" x14ac:dyDescent="0.25">
      <c r="A38" s="5"/>
      <c r="B38" s="5"/>
      <c r="C38" s="5"/>
      <c r="D38" s="5"/>
      <c r="E38" s="5"/>
      <c r="F38" s="5"/>
      <c r="J38" t="s">
        <v>161</v>
      </c>
      <c r="K38" s="24">
        <f>SUM(K23:K37)</f>
        <v>0</v>
      </c>
    </row>
    <row r="39" spans="1:11" x14ac:dyDescent="0.25">
      <c r="A39" s="5"/>
      <c r="B39" s="5"/>
      <c r="C39" s="5"/>
      <c r="D39" s="5"/>
      <c r="E39" s="5"/>
      <c r="F39" s="5"/>
      <c r="H39" s="27" t="s">
        <v>167</v>
      </c>
      <c r="I39" s="27"/>
    </row>
    <row r="40" spans="1:11" x14ac:dyDescent="0.25">
      <c r="H40" s="28" t="s">
        <v>162</v>
      </c>
      <c r="I40" s="27"/>
    </row>
  </sheetData>
  <mergeCells count="1">
    <mergeCell ref="J8:K8"/>
  </mergeCells>
  <pageMargins left="0.7" right="0.7" top="0.75" bottom="0.75" header="0.3" footer="0.3"/>
  <drawing r:id="rId1"/>
  <legacyDrawing r:id="rId2"/>
  <controls>
    <mc:AlternateContent xmlns:mc="http://schemas.openxmlformats.org/markup-compatibility/2006">
      <mc:Choice Requires="x14">
        <control shapeId="8194" r:id="rId3" name="CommandButton1">
          <controlPr defaultSize="0" autoLine="0" r:id="rId4">
            <anchor moveWithCells="1">
              <from>
                <xdr:col>8</xdr:col>
                <xdr:colOff>1638300</xdr:colOff>
                <xdr:row>14</xdr:row>
                <xdr:rowOff>180975</xdr:rowOff>
              </from>
              <to>
                <xdr:col>8</xdr:col>
                <xdr:colOff>2743200</xdr:colOff>
                <xdr:row>16</xdr:row>
                <xdr:rowOff>171450</xdr:rowOff>
              </to>
            </anchor>
          </controlPr>
        </control>
      </mc:Choice>
      <mc:Fallback>
        <control shapeId="8194" r:id="rId3" name="CommandButton1"/>
      </mc:Fallback>
    </mc:AlternateContent>
  </control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C5FDD9C-C21F-4B8A-BDCE-E38B180C6528}">
          <x14:formula1>
            <xm:f>'BASED DATA'!$G$7:$G$56</xm:f>
          </x14:formula1>
          <xm:sqref>I10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ADD390-707F-491E-99D3-2C51FA30E4EA}">
  <sheetPr codeName="Sheet4"/>
  <dimension ref="A1:O56"/>
  <sheetViews>
    <sheetView topLeftCell="D1" workbookViewId="0">
      <selection activeCell="F3" sqref="F3"/>
    </sheetView>
  </sheetViews>
  <sheetFormatPr defaultRowHeight="15" x14ac:dyDescent="0.25"/>
  <cols>
    <col min="2" max="2" width="31" customWidth="1"/>
    <col min="3" max="3" width="12.140625" customWidth="1"/>
    <col min="4" max="4" width="12.5703125" customWidth="1"/>
    <col min="5" max="5" width="13.28515625" customWidth="1"/>
    <col min="6" max="6" width="35.7109375" customWidth="1"/>
    <col min="7" max="7" width="18" customWidth="1"/>
    <col min="8" max="8" width="16.5703125" customWidth="1"/>
    <col min="9" max="9" width="15" customWidth="1"/>
    <col min="10" max="10" width="13.42578125" customWidth="1"/>
    <col min="11" max="11" width="15.42578125" customWidth="1"/>
    <col min="13" max="13" width="12.42578125" customWidth="1"/>
    <col min="14" max="14" width="15" customWidth="1"/>
    <col min="15" max="15" width="12" customWidth="1"/>
  </cols>
  <sheetData>
    <row r="1" spans="1:15" x14ac:dyDescent="0.25">
      <c r="G1" s="55"/>
      <c r="H1" s="55"/>
      <c r="I1" s="62"/>
      <c r="J1" s="62"/>
      <c r="K1" s="63"/>
      <c r="L1" s="63"/>
      <c r="M1" s="55"/>
      <c r="N1" s="55"/>
      <c r="O1" s="55"/>
    </row>
    <row r="2" spans="1:15" x14ac:dyDescent="0.25">
      <c r="A2" s="7"/>
      <c r="B2" s="50"/>
      <c r="C2" s="51"/>
      <c r="E2" s="50"/>
      <c r="F2" s="52"/>
      <c r="G2" s="7"/>
      <c r="H2" s="7"/>
      <c r="I2" s="54"/>
      <c r="J2" s="54"/>
      <c r="K2" s="55"/>
      <c r="L2" s="7"/>
      <c r="M2" s="7"/>
      <c r="N2" s="7"/>
      <c r="O2" s="7"/>
    </row>
    <row r="3" spans="1:15" x14ac:dyDescent="0.25">
      <c r="A3" s="7"/>
      <c r="F3" s="52"/>
      <c r="G3" s="7"/>
      <c r="H3" s="56"/>
      <c r="I3" s="57"/>
      <c r="J3" s="57"/>
      <c r="K3" s="57"/>
      <c r="L3" s="55"/>
      <c r="M3" s="58"/>
      <c r="N3" s="59"/>
      <c r="O3" s="64"/>
    </row>
    <row r="4" spans="1:15" x14ac:dyDescent="0.25">
      <c r="A4" s="7"/>
      <c r="F4" s="53"/>
      <c r="G4" s="7"/>
      <c r="H4" s="60"/>
      <c r="I4" s="61"/>
      <c r="J4" s="61"/>
      <c r="K4" s="61"/>
      <c r="L4" s="55"/>
      <c r="M4" s="58"/>
      <c r="N4" s="59"/>
      <c r="O4" s="64"/>
    </row>
    <row r="5" spans="1:15" x14ac:dyDescent="0.25">
      <c r="G5" s="35"/>
      <c r="H5" s="35"/>
      <c r="I5" s="36" t="s">
        <v>92</v>
      </c>
      <c r="J5" s="36" t="s">
        <v>94</v>
      </c>
      <c r="K5" s="37" t="s">
        <v>93</v>
      </c>
      <c r="L5" s="37" t="s">
        <v>95</v>
      </c>
      <c r="M5" s="35"/>
      <c r="N5" s="35"/>
      <c r="O5" s="35"/>
    </row>
    <row r="6" spans="1:15" x14ac:dyDescent="0.25">
      <c r="A6" s="1" t="s">
        <v>0</v>
      </c>
      <c r="B6" s="6" t="s">
        <v>61</v>
      </c>
      <c r="C6" s="9" t="s">
        <v>62</v>
      </c>
      <c r="D6" s="5" t="s">
        <v>91</v>
      </c>
      <c r="E6" s="6" t="s">
        <v>63</v>
      </c>
      <c r="F6" s="33" t="s">
        <v>64</v>
      </c>
      <c r="G6" s="38" t="s">
        <v>1</v>
      </c>
      <c r="H6" s="38" t="s">
        <v>53</v>
      </c>
      <c r="I6" s="39">
        <v>0.11</v>
      </c>
      <c r="J6" s="39">
        <v>0.3</v>
      </c>
      <c r="K6" s="35"/>
      <c r="L6" s="38" t="s">
        <v>96</v>
      </c>
      <c r="M6" s="38" t="s">
        <v>147</v>
      </c>
      <c r="N6" s="38" t="s">
        <v>148</v>
      </c>
      <c r="O6" s="38" t="s">
        <v>154</v>
      </c>
    </row>
    <row r="7" spans="1:15" x14ac:dyDescent="0.25">
      <c r="A7" s="1">
        <v>1</v>
      </c>
      <c r="B7" s="5" t="str">
        <f>CONCATENATE(C7,"00",LEFT(E7,1),"-",D7)</f>
        <v>BR005-1</v>
      </c>
      <c r="C7" s="5" t="str">
        <f>VLOOKUP(G7,'KODE ITEM'!B3:C53,2,FALSE)</f>
        <v>BR</v>
      </c>
      <c r="D7" s="5">
        <f>IF(F7&lt;&gt;F6,1,D6+1)</f>
        <v>1</v>
      </c>
      <c r="E7" s="5" t="s">
        <v>54</v>
      </c>
      <c r="F7" s="33" t="s">
        <v>65</v>
      </c>
      <c r="G7" s="38" t="s">
        <v>2</v>
      </c>
      <c r="H7" s="40">
        <v>65000</v>
      </c>
      <c r="I7" s="41">
        <f>H7*I6</f>
        <v>7150</v>
      </c>
      <c r="J7" s="41">
        <f>H7*J6</f>
        <v>19500</v>
      </c>
      <c r="K7" s="41">
        <f t="shared" ref="K7:K56" si="0">H7+I7+J7</f>
        <v>91650</v>
      </c>
      <c r="L7" s="35">
        <v>20</v>
      </c>
      <c r="M7" s="42">
        <v>0</v>
      </c>
      <c r="N7" s="43">
        <f>SUMIF('DATABASE TRANSAKSI'!C:C,'BASED DATA'!G7,'DATABASE TRANSAKSI'!E:E)</f>
        <v>0</v>
      </c>
      <c r="O7" s="44">
        <f>L7+M7-N7</f>
        <v>20</v>
      </c>
    </row>
    <row r="8" spans="1:15" x14ac:dyDescent="0.25">
      <c r="A8" s="1">
        <v>2</v>
      </c>
      <c r="B8" s="5" t="str">
        <f>CONCATENATE(C8,"00",LEFT(E8,1),"-",D8)</f>
        <v>GP001-2</v>
      </c>
      <c r="C8" s="5" t="str">
        <f>VLOOKUP(G8,'KODE ITEM'!B4:C54,2,FALSE)</f>
        <v>GP</v>
      </c>
      <c r="D8" s="5">
        <f t="shared" ref="D8:D56" si="1">IF(F8&lt;&gt;F7,1,D7+1)</f>
        <v>2</v>
      </c>
      <c r="E8" s="5" t="s">
        <v>55</v>
      </c>
      <c r="F8" s="34" t="s">
        <v>65</v>
      </c>
      <c r="G8" s="38" t="s">
        <v>3</v>
      </c>
      <c r="H8" s="45">
        <v>14000</v>
      </c>
      <c r="I8" s="46">
        <f>H8*I6</f>
        <v>1540</v>
      </c>
      <c r="J8" s="46">
        <f>H8*J6</f>
        <v>4200</v>
      </c>
      <c r="K8" s="46">
        <f t="shared" si="0"/>
        <v>19740</v>
      </c>
      <c r="L8" s="35">
        <v>40</v>
      </c>
      <c r="M8" s="42">
        <v>0</v>
      </c>
      <c r="N8" s="43">
        <f>SUMIF('DATABASE TRANSAKSI'!C:C,'BASED DATA'!G8,'DATABASE TRANSAKSI'!E:E)</f>
        <v>0</v>
      </c>
      <c r="O8" s="44">
        <f t="shared" ref="O8:O56" si="2">L8+M8-N8</f>
        <v>40</v>
      </c>
    </row>
    <row r="9" spans="1:15" x14ac:dyDescent="0.25">
      <c r="A9" s="1">
        <v>3</v>
      </c>
      <c r="B9" s="5" t="str">
        <f>CONCATENATE(C9,"00",LEFT(E9,2),"-",D9)</f>
        <v>MG0030-3</v>
      </c>
      <c r="C9" s="5" t="str">
        <f>VLOOKUP(G9,'KODE ITEM'!B5:C55,2,FALSE)</f>
        <v>MG</v>
      </c>
      <c r="D9" s="5">
        <f t="shared" si="1"/>
        <v>3</v>
      </c>
      <c r="E9" s="5" t="s">
        <v>72</v>
      </c>
      <c r="F9" s="33" t="s">
        <v>65</v>
      </c>
      <c r="G9" s="38" t="s">
        <v>4</v>
      </c>
      <c r="H9" s="40">
        <v>16000</v>
      </c>
      <c r="I9" s="41">
        <f>H9*I6</f>
        <v>1760</v>
      </c>
      <c r="J9" s="41">
        <f>H9*J6</f>
        <v>4800</v>
      </c>
      <c r="K9" s="41">
        <f t="shared" si="0"/>
        <v>22560</v>
      </c>
      <c r="L9" s="35">
        <v>50</v>
      </c>
      <c r="M9" s="42">
        <v>0</v>
      </c>
      <c r="N9" s="43">
        <f>SUMIF('DATABASE TRANSAKSI'!C:C,'BASED DATA'!G9,'DATABASE TRANSAKSI'!E:E)</f>
        <v>0</v>
      </c>
      <c r="O9" s="44">
        <f t="shared" si="2"/>
        <v>50</v>
      </c>
    </row>
    <row r="10" spans="1:15" x14ac:dyDescent="0.25">
      <c r="A10" s="1">
        <v>4</v>
      </c>
      <c r="B10" s="5" t="str">
        <f>CONCATENATE(C10,"00",LEFT(E10,2),"-",D10)</f>
        <v>TT0080-4</v>
      </c>
      <c r="C10" s="5" t="str">
        <f>VLOOKUP(G10,'KODE ITEM'!B6:C56,2,FALSE)</f>
        <v>TT</v>
      </c>
      <c r="D10" s="5">
        <f t="shared" si="1"/>
        <v>4</v>
      </c>
      <c r="E10" s="5" t="s">
        <v>73</v>
      </c>
      <c r="F10" s="33" t="s">
        <v>65</v>
      </c>
      <c r="G10" s="38" t="s">
        <v>5</v>
      </c>
      <c r="H10" s="40">
        <v>10000</v>
      </c>
      <c r="I10" s="41">
        <f>H10*I6</f>
        <v>1100</v>
      </c>
      <c r="J10" s="41">
        <f>H10*J6</f>
        <v>3000</v>
      </c>
      <c r="K10" s="41">
        <f t="shared" si="0"/>
        <v>14100</v>
      </c>
      <c r="L10" s="35">
        <v>40</v>
      </c>
      <c r="M10" s="42">
        <v>0</v>
      </c>
      <c r="N10" s="43">
        <f>SUMIF('DATABASE TRANSAKSI'!C:C,'BASED DATA'!G10,'DATABASE TRANSAKSI'!E:E)</f>
        <v>0</v>
      </c>
      <c r="O10" s="44">
        <f t="shared" si="2"/>
        <v>40</v>
      </c>
    </row>
    <row r="11" spans="1:15" x14ac:dyDescent="0.25">
      <c r="A11" s="1">
        <v>5</v>
      </c>
      <c r="B11" s="5" t="str">
        <f>CONCATENATE(C11,"00",LEFT(E11,2),"-",D11)</f>
        <v>TA0050-5</v>
      </c>
      <c r="C11" s="5" t="str">
        <f>VLOOKUP(G11,'KODE ITEM'!B2:C52,2,FALSE)</f>
        <v>TA</v>
      </c>
      <c r="D11" s="5">
        <f t="shared" si="1"/>
        <v>5</v>
      </c>
      <c r="E11" s="5" t="s">
        <v>71</v>
      </c>
      <c r="F11" s="33" t="s">
        <v>65</v>
      </c>
      <c r="G11" s="38" t="s">
        <v>8</v>
      </c>
      <c r="H11" s="40">
        <v>2000</v>
      </c>
      <c r="I11" s="41">
        <f>H11*I6</f>
        <v>220</v>
      </c>
      <c r="J11" s="41">
        <f>H11*J6</f>
        <v>600</v>
      </c>
      <c r="K11" s="41">
        <f t="shared" si="0"/>
        <v>2820</v>
      </c>
      <c r="L11" s="35">
        <v>300</v>
      </c>
      <c r="M11" s="42">
        <v>0</v>
      </c>
      <c r="N11" s="43">
        <f>SUMIF('DATABASE TRANSAKSI'!C:C,'BASED DATA'!G11,'DATABASE TRANSAKSI'!E:E)</f>
        <v>0</v>
      </c>
      <c r="O11" s="44">
        <f t="shared" si="2"/>
        <v>300</v>
      </c>
    </row>
    <row r="12" spans="1:15" x14ac:dyDescent="0.25">
      <c r="A12" s="1">
        <v>6</v>
      </c>
      <c r="B12" s="5" t="str">
        <f>CONCATENATE(C12,"00",LEFT(E12,2),"-",D12)</f>
        <v>MI0080-6</v>
      </c>
      <c r="C12" s="5" t="str">
        <f>VLOOKUP(G12,'KODE ITEM'!B2:C53,2,FALSE)</f>
        <v>MI</v>
      </c>
      <c r="D12" s="5">
        <f t="shared" si="1"/>
        <v>6</v>
      </c>
      <c r="E12" s="5" t="s">
        <v>73</v>
      </c>
      <c r="F12" s="33" t="s">
        <v>65</v>
      </c>
      <c r="G12" s="38" t="s">
        <v>7</v>
      </c>
      <c r="H12" s="40">
        <v>3500</v>
      </c>
      <c r="I12" s="41">
        <f>H12*I6</f>
        <v>385</v>
      </c>
      <c r="J12" s="41">
        <f>H12*J6</f>
        <v>1050</v>
      </c>
      <c r="K12" s="41">
        <f t="shared" si="0"/>
        <v>4935</v>
      </c>
      <c r="L12" s="35">
        <v>120</v>
      </c>
      <c r="M12" s="42">
        <v>0</v>
      </c>
      <c r="N12" s="43">
        <f>SUMIF('DATABASE TRANSAKSI'!C:C,'BASED DATA'!G12,'DATABASE TRANSAKSI'!E:E)</f>
        <v>0</v>
      </c>
      <c r="O12" s="44">
        <f t="shared" si="2"/>
        <v>120</v>
      </c>
    </row>
    <row r="13" spans="1:15" x14ac:dyDescent="0.25">
      <c r="A13" s="1">
        <v>7</v>
      </c>
      <c r="B13" s="5" t="str">
        <f>CONCATENATE(C13,"00",LEFT(E13,3),"-",D13)</f>
        <v>RT00400-7</v>
      </c>
      <c r="C13" s="5" t="str">
        <f>VLOOKUP(G13,'KODE ITEM'!B2:C53,2,FALSE)</f>
        <v>RT</v>
      </c>
      <c r="D13" s="5">
        <f t="shared" si="1"/>
        <v>7</v>
      </c>
      <c r="E13" s="5" t="s">
        <v>75</v>
      </c>
      <c r="F13" s="33" t="s">
        <v>65</v>
      </c>
      <c r="G13" s="38" t="s">
        <v>11</v>
      </c>
      <c r="H13" s="40">
        <v>15000</v>
      </c>
      <c r="I13" s="41">
        <f>H13*I6</f>
        <v>1650</v>
      </c>
      <c r="J13" s="41">
        <f>H13*J6</f>
        <v>4500</v>
      </c>
      <c r="K13" s="41">
        <f t="shared" si="0"/>
        <v>21150</v>
      </c>
      <c r="L13" s="35">
        <v>20</v>
      </c>
      <c r="M13" s="42">
        <v>0</v>
      </c>
      <c r="N13" s="43">
        <f>SUMIF('DATABASE TRANSAKSI'!C:C,'BASED DATA'!G13,'DATABASE TRANSAKSI'!E:E)</f>
        <v>0</v>
      </c>
      <c r="O13" s="44">
        <f t="shared" si="2"/>
        <v>20</v>
      </c>
    </row>
    <row r="14" spans="1:15" x14ac:dyDescent="0.25">
      <c r="A14" s="1">
        <v>8</v>
      </c>
      <c r="B14" s="5" t="str">
        <f>CONCATENATE(C14,"00",LEFT(E14,3),"-",D14)</f>
        <v>SC00200-1</v>
      </c>
      <c r="C14" s="5" t="str">
        <f>VLOOKUP(G14,'KODE ITEM'!B2:C52,2,FALSE)</f>
        <v>SC</v>
      </c>
      <c r="D14" s="5">
        <f t="shared" si="1"/>
        <v>1</v>
      </c>
      <c r="E14" s="5" t="s">
        <v>76</v>
      </c>
      <c r="F14" s="33" t="s">
        <v>66</v>
      </c>
      <c r="G14" s="38" t="s">
        <v>12</v>
      </c>
      <c r="H14" s="40">
        <v>5000</v>
      </c>
      <c r="I14" s="41">
        <f>H14*I6</f>
        <v>550</v>
      </c>
      <c r="J14" s="41">
        <f>H14*J6</f>
        <v>1500</v>
      </c>
      <c r="K14" s="41">
        <f t="shared" si="0"/>
        <v>7050</v>
      </c>
      <c r="L14" s="35">
        <v>240</v>
      </c>
      <c r="M14" s="42">
        <v>0</v>
      </c>
      <c r="N14" s="43">
        <f>SUMIF('DATABASE TRANSAKSI'!C:C,'BASED DATA'!G14,'DATABASE TRANSAKSI'!E:E)</f>
        <v>0</v>
      </c>
      <c r="O14" s="44">
        <f t="shared" si="2"/>
        <v>240</v>
      </c>
    </row>
    <row r="15" spans="1:15" x14ac:dyDescent="0.25">
      <c r="A15" s="1">
        <v>9</v>
      </c>
      <c r="B15" s="5" t="str">
        <f>CONCATENATE(C15,"00",LEFT(E15,2),"-",D15)</f>
        <v>KB0010-1</v>
      </c>
      <c r="C15" s="5" t="str">
        <f>VLOOKUP(G15,'KODE ITEM'!B2:C52,2,FALSE)</f>
        <v>KB</v>
      </c>
      <c r="D15" s="5">
        <f t="shared" si="1"/>
        <v>1</v>
      </c>
      <c r="E15" s="5" t="s">
        <v>77</v>
      </c>
      <c r="F15" s="33" t="s">
        <v>65</v>
      </c>
      <c r="G15" s="38" t="s">
        <v>13</v>
      </c>
      <c r="H15" s="40">
        <v>3000</v>
      </c>
      <c r="I15" s="41">
        <f>H15*I6</f>
        <v>330</v>
      </c>
      <c r="J15" s="41">
        <f>H15*J6</f>
        <v>900</v>
      </c>
      <c r="K15" s="41">
        <f t="shared" si="0"/>
        <v>4230</v>
      </c>
      <c r="L15" s="35">
        <v>60</v>
      </c>
      <c r="M15" s="42">
        <v>0</v>
      </c>
      <c r="N15" s="43">
        <f>SUMIF('DATABASE TRANSAKSI'!C:C,'BASED DATA'!G15,'DATABASE TRANSAKSI'!E:E)</f>
        <v>0</v>
      </c>
      <c r="O15" s="44">
        <f t="shared" si="2"/>
        <v>60</v>
      </c>
    </row>
    <row r="16" spans="1:15" x14ac:dyDescent="0.25">
      <c r="A16" s="1">
        <v>10</v>
      </c>
      <c r="B16" s="5" t="str">
        <f>CONCATENATE(C16,"00",LEFT(E16,2),"-",D16)</f>
        <v>TC0020-1</v>
      </c>
      <c r="C16" s="5" t="str">
        <f>VLOOKUP(G16,'KODE ITEM'!B2:C52,2,FALSE)</f>
        <v>TC</v>
      </c>
      <c r="D16" s="5">
        <f t="shared" si="1"/>
        <v>1</v>
      </c>
      <c r="E16" s="5" t="s">
        <v>78</v>
      </c>
      <c r="F16" s="33" t="s">
        <v>66</v>
      </c>
      <c r="G16" s="38" t="s">
        <v>14</v>
      </c>
      <c r="H16" s="40">
        <v>6000</v>
      </c>
      <c r="I16" s="41">
        <f>H16*I6</f>
        <v>660</v>
      </c>
      <c r="J16" s="41">
        <f>H16*J6</f>
        <v>1800</v>
      </c>
      <c r="K16" s="41">
        <f t="shared" si="0"/>
        <v>8460</v>
      </c>
      <c r="L16" s="35">
        <v>50</v>
      </c>
      <c r="M16" s="42">
        <v>0</v>
      </c>
      <c r="N16" s="43">
        <f>SUMIF('DATABASE TRANSAKSI'!C:C,'BASED DATA'!G16,'DATABASE TRANSAKSI'!E:E)</f>
        <v>0</v>
      </c>
      <c r="O16" s="44">
        <f t="shared" si="2"/>
        <v>50</v>
      </c>
    </row>
    <row r="17" spans="1:15" x14ac:dyDescent="0.25">
      <c r="A17" s="1">
        <v>11</v>
      </c>
      <c r="B17" s="5" t="str">
        <f>CONCATENATE(C17,"00",LEFT(E17,1),"-",D17)</f>
        <v>GM001-1</v>
      </c>
      <c r="C17" s="5" t="str">
        <f>VLOOKUP(G17,'KODE ITEM'!B2:C52,2,FALSE)</f>
        <v>GM</v>
      </c>
      <c r="D17" s="5">
        <f t="shared" si="1"/>
        <v>1</v>
      </c>
      <c r="E17" s="5" t="s">
        <v>55</v>
      </c>
      <c r="F17" s="33" t="s">
        <v>65</v>
      </c>
      <c r="G17" s="38" t="s">
        <v>15</v>
      </c>
      <c r="H17" s="40">
        <v>5000</v>
      </c>
      <c r="I17" s="41">
        <f>H17*I6</f>
        <v>550</v>
      </c>
      <c r="J17" s="41">
        <f>H17*J6</f>
        <v>1500</v>
      </c>
      <c r="K17" s="41">
        <f t="shared" si="0"/>
        <v>7050</v>
      </c>
      <c r="L17" s="35">
        <v>20</v>
      </c>
      <c r="M17" s="42">
        <v>0</v>
      </c>
      <c r="N17" s="43">
        <f>SUMIF('DATABASE TRANSAKSI'!C:C,'BASED DATA'!G17,'DATABASE TRANSAKSI'!E:E)</f>
        <v>0</v>
      </c>
      <c r="O17" s="44">
        <f t="shared" si="2"/>
        <v>20</v>
      </c>
    </row>
    <row r="18" spans="1:15" x14ac:dyDescent="0.25">
      <c r="A18" s="1">
        <v>12</v>
      </c>
      <c r="B18" s="5" t="str">
        <f>CONCATENATE(C18,"00",LEFT(E18,3),"-",D18)</f>
        <v>GA00500-2</v>
      </c>
      <c r="C18" s="5" t="str">
        <f>VLOOKUP(G18,'KODE ITEM'!B2:C52,2,FALSE)</f>
        <v>GA</v>
      </c>
      <c r="D18" s="5">
        <f t="shared" si="1"/>
        <v>2</v>
      </c>
      <c r="E18" s="5" t="s">
        <v>79</v>
      </c>
      <c r="F18" s="33" t="s">
        <v>65</v>
      </c>
      <c r="G18" s="38" t="s">
        <v>6</v>
      </c>
      <c r="H18" s="40">
        <v>3000</v>
      </c>
      <c r="I18" s="41">
        <f>H18*I6</f>
        <v>330</v>
      </c>
      <c r="J18" s="41">
        <f>H18*J6</f>
        <v>900</v>
      </c>
      <c r="K18" s="41">
        <f t="shared" si="0"/>
        <v>4230</v>
      </c>
      <c r="L18" s="35">
        <v>50</v>
      </c>
      <c r="M18" s="42">
        <v>0</v>
      </c>
      <c r="N18" s="43">
        <f>SUMIF('DATABASE TRANSAKSI'!C:C,'BASED DATA'!G18,'DATABASE TRANSAKSI'!E:E)</f>
        <v>0</v>
      </c>
      <c r="O18" s="44">
        <f t="shared" si="2"/>
        <v>50</v>
      </c>
    </row>
    <row r="19" spans="1:15" x14ac:dyDescent="0.25">
      <c r="A19" s="1">
        <v>13</v>
      </c>
      <c r="B19" s="5" t="str">
        <f>CONCATENATE(C19,"00",LEFT(E19,3),"-",D19)</f>
        <v>KM00500-3</v>
      </c>
      <c r="C19" s="5" t="str">
        <f>VLOOKUP(G19,'KODE ITEM'!B2:C52,2,FALSE)</f>
        <v>KM</v>
      </c>
      <c r="D19" s="5">
        <f t="shared" si="1"/>
        <v>3</v>
      </c>
      <c r="E19" s="5" t="s">
        <v>80</v>
      </c>
      <c r="F19" s="33" t="s">
        <v>65</v>
      </c>
      <c r="G19" s="38" t="s">
        <v>16</v>
      </c>
      <c r="H19" s="40">
        <v>10000</v>
      </c>
      <c r="I19" s="41">
        <f>H19*I6</f>
        <v>1100</v>
      </c>
      <c r="J19" s="41">
        <f>H19*J6</f>
        <v>3000</v>
      </c>
      <c r="K19" s="41">
        <f t="shared" si="0"/>
        <v>14100</v>
      </c>
      <c r="L19" s="35">
        <v>60</v>
      </c>
      <c r="M19" s="42">
        <v>0</v>
      </c>
      <c r="N19" s="43">
        <f>SUMIF('DATABASE TRANSAKSI'!C:C,'BASED DATA'!G19,'DATABASE TRANSAKSI'!E:E)</f>
        <v>0</v>
      </c>
      <c r="O19" s="44">
        <f t="shared" si="2"/>
        <v>60</v>
      </c>
    </row>
    <row r="20" spans="1:15" x14ac:dyDescent="0.25">
      <c r="A20" s="1">
        <v>14</v>
      </c>
      <c r="B20" s="5" t="str">
        <f>CONCATENATE(C20,"00",LEFT(E20,3),"-",D20)</f>
        <v>SS00300-4</v>
      </c>
      <c r="C20" s="5" t="str">
        <f>VLOOKUP(G20,'KODE ITEM'!B2:C52,2,FALSE)</f>
        <v>SS</v>
      </c>
      <c r="D20" s="5">
        <f t="shared" si="1"/>
        <v>4</v>
      </c>
      <c r="E20" s="5" t="s">
        <v>81</v>
      </c>
      <c r="F20" s="33" t="s">
        <v>65</v>
      </c>
      <c r="G20" s="38" t="s">
        <v>17</v>
      </c>
      <c r="H20" s="40">
        <v>8000</v>
      </c>
      <c r="I20" s="41">
        <f>H20*I6</f>
        <v>880</v>
      </c>
      <c r="J20" s="41">
        <f>H20*J6</f>
        <v>2400</v>
      </c>
      <c r="K20" s="41">
        <f t="shared" si="0"/>
        <v>11280</v>
      </c>
      <c r="L20" s="35">
        <v>60</v>
      </c>
      <c r="M20" s="42">
        <v>0</v>
      </c>
      <c r="N20" s="43">
        <f>SUMIF('DATABASE TRANSAKSI'!C:C,'BASED DATA'!G20,'DATABASE TRANSAKSI'!E:E)</f>
        <v>0</v>
      </c>
      <c r="O20" s="44">
        <f t="shared" si="2"/>
        <v>60</v>
      </c>
    </row>
    <row r="21" spans="1:15" x14ac:dyDescent="0.25">
      <c r="A21" s="1">
        <v>15</v>
      </c>
      <c r="B21" s="5" t="str">
        <f>CONCATENATE(C21,"00",LEFT(E21,2),"-",D21)</f>
        <v>BM0020-5</v>
      </c>
      <c r="C21" s="5" t="str">
        <f>VLOOKUP(G21,'KODE ITEM'!B2:C52,2,FALSE)</f>
        <v>BM</v>
      </c>
      <c r="D21" s="5">
        <f t="shared" si="1"/>
        <v>5</v>
      </c>
      <c r="E21" s="5" t="s">
        <v>82</v>
      </c>
      <c r="F21" s="33" t="s">
        <v>65</v>
      </c>
      <c r="G21" s="38" t="s">
        <v>10</v>
      </c>
      <c r="H21" s="40">
        <v>3000</v>
      </c>
      <c r="I21" s="41">
        <f>H21*I6</f>
        <v>330</v>
      </c>
      <c r="J21" s="41">
        <f>H21*J6</f>
        <v>900</v>
      </c>
      <c r="K21" s="41">
        <f t="shared" si="0"/>
        <v>4230</v>
      </c>
      <c r="L21" s="35">
        <v>60</v>
      </c>
      <c r="M21" s="42">
        <v>0</v>
      </c>
      <c r="N21" s="43">
        <f>SUMIF('DATABASE TRANSAKSI'!C:C,'BASED DATA'!G21,'DATABASE TRANSAKSI'!E:E)</f>
        <v>0</v>
      </c>
      <c r="O21" s="44">
        <f t="shared" si="2"/>
        <v>60</v>
      </c>
    </row>
    <row r="22" spans="1:15" x14ac:dyDescent="0.25">
      <c r="A22" s="1">
        <v>16</v>
      </c>
      <c r="B22" s="5" t="str">
        <f>CONCATENATE(C22,"00",LEFT(E22,3),"-",D22)</f>
        <v>KK00100-6</v>
      </c>
      <c r="C22" s="5" t="str">
        <f>VLOOKUP(G22,'KODE ITEM'!B3:C53,2,FALSE)</f>
        <v>KK</v>
      </c>
      <c r="D22" s="5">
        <f t="shared" si="1"/>
        <v>6</v>
      </c>
      <c r="E22" s="5" t="s">
        <v>74</v>
      </c>
      <c r="F22" s="33" t="s">
        <v>65</v>
      </c>
      <c r="G22" s="38" t="s">
        <v>18</v>
      </c>
      <c r="H22" s="40">
        <v>5000</v>
      </c>
      <c r="I22" s="41">
        <f>H22*I6</f>
        <v>550</v>
      </c>
      <c r="J22" s="41">
        <f>H22*J6</f>
        <v>1500</v>
      </c>
      <c r="K22" s="41">
        <f t="shared" si="0"/>
        <v>7050</v>
      </c>
      <c r="L22" s="35">
        <v>20</v>
      </c>
      <c r="M22" s="42">
        <v>0</v>
      </c>
      <c r="N22" s="43">
        <f>SUMIF('DATABASE TRANSAKSI'!C:C,'BASED DATA'!G22,'DATABASE TRANSAKSI'!E:E)</f>
        <v>0</v>
      </c>
      <c r="O22" s="44">
        <f t="shared" si="2"/>
        <v>20</v>
      </c>
    </row>
    <row r="23" spans="1:15" x14ac:dyDescent="0.25">
      <c r="A23" s="1">
        <v>17</v>
      </c>
      <c r="B23" s="5" t="str">
        <f>CONCATENATE(C23,"00",LEFT(E23,2),"-",D23)</f>
        <v>SK0050-7</v>
      </c>
      <c r="C23" s="5" t="str">
        <f>VLOOKUP(G23,'KODE ITEM'!B4:C54,2,FALSE)</f>
        <v>SK</v>
      </c>
      <c r="D23" s="5">
        <f t="shared" si="1"/>
        <v>7</v>
      </c>
      <c r="E23" s="5" t="s">
        <v>71</v>
      </c>
      <c r="F23" s="33" t="s">
        <v>65</v>
      </c>
      <c r="G23" s="38" t="s">
        <v>19</v>
      </c>
      <c r="H23" s="40">
        <v>5000</v>
      </c>
      <c r="I23" s="41">
        <f>H23*I6</f>
        <v>550</v>
      </c>
      <c r="J23" s="41">
        <f>H23*J6</f>
        <v>1500</v>
      </c>
      <c r="K23" s="41">
        <f t="shared" si="0"/>
        <v>7050</v>
      </c>
      <c r="L23" s="35">
        <v>80</v>
      </c>
      <c r="M23" s="42">
        <v>0</v>
      </c>
      <c r="N23" s="43">
        <f>SUMIF('DATABASE TRANSAKSI'!C:C,'BASED DATA'!G23,'DATABASE TRANSAKSI'!E:E)</f>
        <v>0</v>
      </c>
      <c r="O23" s="44">
        <f t="shared" si="2"/>
        <v>80</v>
      </c>
    </row>
    <row r="24" spans="1:15" x14ac:dyDescent="0.25">
      <c r="A24" s="1">
        <v>18</v>
      </c>
      <c r="B24" s="5" t="str">
        <f>CONCATENATE(C24,"00",LEFT(E24,1),"-",D24)</f>
        <v>PN005-8</v>
      </c>
      <c r="C24" s="5" t="str">
        <f>VLOOKUP(G24,'KODE ITEM'!B5:C55,2,FALSE)</f>
        <v>PN</v>
      </c>
      <c r="D24" s="5">
        <f t="shared" si="1"/>
        <v>8</v>
      </c>
      <c r="E24" s="5" t="s">
        <v>83</v>
      </c>
      <c r="F24" s="33" t="s">
        <v>65</v>
      </c>
      <c r="G24" s="38" t="s">
        <v>20</v>
      </c>
      <c r="H24" s="40">
        <v>2000</v>
      </c>
      <c r="I24" s="41">
        <f>H24*I6</f>
        <v>220</v>
      </c>
      <c r="J24" s="41">
        <f>H24*J6</f>
        <v>600</v>
      </c>
      <c r="K24" s="41">
        <f t="shared" si="0"/>
        <v>2820</v>
      </c>
      <c r="L24" s="35">
        <v>400</v>
      </c>
      <c r="M24" s="42">
        <v>0</v>
      </c>
      <c r="N24" s="43">
        <f>SUMIF('DATABASE TRANSAKSI'!C:C,'BASED DATA'!G24,'DATABASE TRANSAKSI'!E:E)</f>
        <v>0</v>
      </c>
      <c r="O24" s="44">
        <f t="shared" si="2"/>
        <v>400</v>
      </c>
    </row>
    <row r="25" spans="1:15" x14ac:dyDescent="0.25">
      <c r="A25" s="1">
        <v>19</v>
      </c>
      <c r="B25" s="5" t="str">
        <f>CONCATENATE(C25,"00",LEFT(E25,3),"-",D25)</f>
        <v>AN00250-1</v>
      </c>
      <c r="C25" s="5" t="str">
        <f>VLOOKUP(G25,'KODE ITEM'!B6:C56,2,FALSE)</f>
        <v>AN</v>
      </c>
      <c r="D25" s="5">
        <f t="shared" si="1"/>
        <v>1</v>
      </c>
      <c r="E25" s="5" t="s">
        <v>84</v>
      </c>
      <c r="F25" s="33" t="s">
        <v>66</v>
      </c>
      <c r="G25" s="38" t="s">
        <v>9</v>
      </c>
      <c r="H25" s="40">
        <v>3000</v>
      </c>
      <c r="I25" s="41">
        <f>H25*I6</f>
        <v>330</v>
      </c>
      <c r="J25" s="41">
        <f>H25*J6</f>
        <v>900</v>
      </c>
      <c r="K25" s="41">
        <f t="shared" si="0"/>
        <v>4230</v>
      </c>
      <c r="L25" s="35">
        <v>120</v>
      </c>
      <c r="M25" s="42">
        <v>0</v>
      </c>
      <c r="N25" s="43">
        <f>SUMIF('DATABASE TRANSAKSI'!C:C,'BASED DATA'!G25,'DATABASE TRANSAKSI'!E:E)</f>
        <v>0</v>
      </c>
      <c r="O25" s="44">
        <f t="shared" si="2"/>
        <v>120</v>
      </c>
    </row>
    <row r="26" spans="1:15" x14ac:dyDescent="0.25">
      <c r="A26" s="1">
        <v>20</v>
      </c>
      <c r="B26" s="5" t="str">
        <f>CONCATENATE(C26,"00",LEFT(E26,2),"-",D26)</f>
        <v>MK0014-2</v>
      </c>
      <c r="C26" s="5" t="str">
        <f>VLOOKUP(G26,'KODE ITEM'!B7:C57,2,FALSE)</f>
        <v>MK</v>
      </c>
      <c r="D26" s="5">
        <f t="shared" si="1"/>
        <v>2</v>
      </c>
      <c r="E26" s="5" t="s">
        <v>85</v>
      </c>
      <c r="F26" s="33" t="s">
        <v>66</v>
      </c>
      <c r="G26" s="38" t="s">
        <v>21</v>
      </c>
      <c r="H26" s="40">
        <v>2000</v>
      </c>
      <c r="I26" s="41">
        <f>H26*I6</f>
        <v>220</v>
      </c>
      <c r="J26" s="41">
        <f>H26*J6</f>
        <v>600</v>
      </c>
      <c r="K26" s="41">
        <f t="shared" si="0"/>
        <v>2820</v>
      </c>
      <c r="L26" s="35">
        <v>120</v>
      </c>
      <c r="M26" s="42">
        <v>0</v>
      </c>
      <c r="N26" s="43">
        <f>SUMIF('DATABASE TRANSAKSI'!C:C,'BASED DATA'!G26,'DATABASE TRANSAKSI'!E:E)</f>
        <v>0</v>
      </c>
      <c r="O26" s="44">
        <f t="shared" si="2"/>
        <v>120</v>
      </c>
    </row>
    <row r="27" spans="1:15" x14ac:dyDescent="0.25">
      <c r="A27" s="1">
        <v>21</v>
      </c>
      <c r="B27" s="5" t="str">
        <f>CONCATENATE(C27,"00",LEFT(E27,3),"-",D27)</f>
        <v>SM00100-1</v>
      </c>
      <c r="C27" s="5" t="str">
        <f>VLOOKUP(G27,'KODE ITEM'!B8:C58,2,FALSE)</f>
        <v>SM</v>
      </c>
      <c r="D27" s="5">
        <f t="shared" si="1"/>
        <v>1</v>
      </c>
      <c r="E27" s="5" t="s">
        <v>74</v>
      </c>
      <c r="F27" s="33" t="s">
        <v>67</v>
      </c>
      <c r="G27" s="38" t="s">
        <v>22</v>
      </c>
      <c r="H27" s="40">
        <v>4000</v>
      </c>
      <c r="I27" s="41">
        <f>H27*I6</f>
        <v>440</v>
      </c>
      <c r="J27" s="41">
        <f>H27*J6</f>
        <v>1200</v>
      </c>
      <c r="K27" s="41">
        <f t="shared" si="0"/>
        <v>5640</v>
      </c>
      <c r="L27" s="35">
        <v>216</v>
      </c>
      <c r="M27" s="42">
        <v>0</v>
      </c>
      <c r="N27" s="43">
        <f>SUMIF('DATABASE TRANSAKSI'!C:C,'BASED DATA'!G27,'DATABASE TRANSAKSI'!E:E)</f>
        <v>0</v>
      </c>
      <c r="O27" s="44">
        <f t="shared" si="2"/>
        <v>216</v>
      </c>
    </row>
    <row r="28" spans="1:15" x14ac:dyDescent="0.25">
      <c r="A28" s="1">
        <v>22</v>
      </c>
      <c r="B28" s="5" t="str">
        <f>CONCATENATE(C28,"00",LEFT(E28,3),"-",D28)</f>
        <v>SO00200-2</v>
      </c>
      <c r="C28" s="5" t="str">
        <f>VLOOKUP(G28,'KODE ITEM'!B9:C59,2,FALSE)</f>
        <v>SO</v>
      </c>
      <c r="D28" s="5">
        <f t="shared" si="1"/>
        <v>2</v>
      </c>
      <c r="E28" s="5" t="s">
        <v>76</v>
      </c>
      <c r="F28" s="33" t="s">
        <v>67</v>
      </c>
      <c r="G28" s="38" t="s">
        <v>23</v>
      </c>
      <c r="H28" s="40">
        <v>8000</v>
      </c>
      <c r="I28" s="41">
        <f>H28*I6</f>
        <v>880</v>
      </c>
      <c r="J28" s="41">
        <f>H28*J6</f>
        <v>2400</v>
      </c>
      <c r="K28" s="41">
        <f t="shared" si="0"/>
        <v>11280</v>
      </c>
      <c r="L28" s="35">
        <v>55</v>
      </c>
      <c r="M28" s="42">
        <v>0</v>
      </c>
      <c r="N28" s="43">
        <f>SUMIF('DATABASE TRANSAKSI'!C:C,'BASED DATA'!G28,'DATABASE TRANSAKSI'!E:E)</f>
        <v>0</v>
      </c>
      <c r="O28" s="44">
        <f t="shared" si="2"/>
        <v>55</v>
      </c>
    </row>
    <row r="29" spans="1:15" x14ac:dyDescent="0.25">
      <c r="A29" s="1">
        <v>23</v>
      </c>
      <c r="B29" s="5" t="str">
        <f>CONCATENATE(C29,"00",LEFT(E29,3),"-",D29)</f>
        <v>PG00100-3</v>
      </c>
      <c r="C29" s="5" t="str">
        <f>VLOOKUP(G29,'KODE ITEM'!B10:C60,2,FALSE)</f>
        <v>PG</v>
      </c>
      <c r="D29" s="5">
        <f t="shared" si="1"/>
        <v>3</v>
      </c>
      <c r="E29" s="5" t="s">
        <v>74</v>
      </c>
      <c r="F29" s="33" t="s">
        <v>67</v>
      </c>
      <c r="G29" s="38" t="s">
        <v>24</v>
      </c>
      <c r="H29" s="40">
        <v>5500</v>
      </c>
      <c r="I29" s="41">
        <f>H29*I6</f>
        <v>605</v>
      </c>
      <c r="J29" s="41">
        <f>H29*J6</f>
        <v>1650</v>
      </c>
      <c r="K29" s="41">
        <f t="shared" si="0"/>
        <v>7755</v>
      </c>
      <c r="L29" s="35">
        <v>80</v>
      </c>
      <c r="M29" s="42">
        <v>0</v>
      </c>
      <c r="N29" s="43">
        <f>SUMIF('DATABASE TRANSAKSI'!C:C,'BASED DATA'!G29,'DATABASE TRANSAKSI'!E:E)</f>
        <v>0</v>
      </c>
      <c r="O29" s="44">
        <f t="shared" si="2"/>
        <v>80</v>
      </c>
    </row>
    <row r="30" spans="1:15" x14ac:dyDescent="0.25">
      <c r="A30" s="1">
        <v>24</v>
      </c>
      <c r="B30" s="5" t="str">
        <f>CONCATENATE(C30,"00",LEFT(E30,1),"-",D30)</f>
        <v>SG001-4</v>
      </c>
      <c r="C30" s="5" t="str">
        <f>VLOOKUP(G30,'KODE ITEM'!B11:C61,2,FALSE)</f>
        <v>SG</v>
      </c>
      <c r="D30" s="5">
        <f t="shared" si="1"/>
        <v>4</v>
      </c>
      <c r="E30" s="5" t="s">
        <v>57</v>
      </c>
      <c r="F30" s="33" t="s">
        <v>67</v>
      </c>
      <c r="G30" s="38" t="s">
        <v>25</v>
      </c>
      <c r="H30" s="40">
        <v>5000</v>
      </c>
      <c r="I30" s="41">
        <f>H30*I6</f>
        <v>550</v>
      </c>
      <c r="J30" s="41">
        <f>H30*J6</f>
        <v>1500</v>
      </c>
      <c r="K30" s="41">
        <f t="shared" si="0"/>
        <v>7050</v>
      </c>
      <c r="L30" s="35">
        <v>100</v>
      </c>
      <c r="M30" s="42">
        <v>0</v>
      </c>
      <c r="N30" s="43">
        <f>SUMIF('DATABASE TRANSAKSI'!C:C,'BASED DATA'!G30,'DATABASE TRANSAKSI'!E:E)</f>
        <v>0</v>
      </c>
      <c r="O30" s="44">
        <f t="shared" si="2"/>
        <v>100</v>
      </c>
    </row>
    <row r="31" spans="1:15" x14ac:dyDescent="0.25">
      <c r="A31" s="1">
        <v>25</v>
      </c>
      <c r="B31" s="5" t="str">
        <f>CONCATENATE(C31,"00",LEFT(E31,2),"-",D31)</f>
        <v>SB0050-5</v>
      </c>
      <c r="C31" s="5" t="str">
        <f>VLOOKUP(G31,'KODE ITEM'!B12:C62,2,FALSE)</f>
        <v>SB</v>
      </c>
      <c r="D31" s="5">
        <f t="shared" si="1"/>
        <v>5</v>
      </c>
      <c r="E31" s="5" t="s">
        <v>71</v>
      </c>
      <c r="F31" s="33" t="s">
        <v>67</v>
      </c>
      <c r="G31" s="38" t="s">
        <v>26</v>
      </c>
      <c r="H31" s="40">
        <v>3500</v>
      </c>
      <c r="I31" s="41">
        <f>H31*I6</f>
        <v>385</v>
      </c>
      <c r="J31" s="41">
        <f>H31*J6</f>
        <v>1050</v>
      </c>
      <c r="K31" s="41">
        <f t="shared" si="0"/>
        <v>4935</v>
      </c>
      <c r="L31" s="35">
        <v>60</v>
      </c>
      <c r="M31" s="42">
        <v>0</v>
      </c>
      <c r="N31" s="43">
        <f>SUMIF('DATABASE TRANSAKSI'!C:C,'BASED DATA'!G31,'DATABASE TRANSAKSI'!E:E)</f>
        <v>0</v>
      </c>
      <c r="O31" s="44">
        <f t="shared" si="2"/>
        <v>60</v>
      </c>
    </row>
    <row r="32" spans="1:15" x14ac:dyDescent="0.25">
      <c r="A32" s="1">
        <v>26</v>
      </c>
      <c r="B32" s="5" t="str">
        <f>CONCATENATE(C32,"00",LEFT(E32,2),"-",D32)</f>
        <v>DN0050-1</v>
      </c>
      <c r="C32" s="5" t="str">
        <f>VLOOKUP(G32,'KODE ITEM'!B13:C63,2,FALSE)</f>
        <v>DN</v>
      </c>
      <c r="D32" s="5">
        <f t="shared" si="1"/>
        <v>1</v>
      </c>
      <c r="E32" s="5" t="s">
        <v>86</v>
      </c>
      <c r="F32" s="33" t="s">
        <v>68</v>
      </c>
      <c r="G32" s="38" t="s">
        <v>27</v>
      </c>
      <c r="H32" s="40">
        <v>8000</v>
      </c>
      <c r="I32" s="41">
        <f>H32*I6</f>
        <v>880</v>
      </c>
      <c r="J32" s="41">
        <f>H32*J6</f>
        <v>2400</v>
      </c>
      <c r="K32" s="41">
        <f t="shared" si="0"/>
        <v>11280</v>
      </c>
      <c r="L32" s="35">
        <v>70</v>
      </c>
      <c r="M32" s="42">
        <v>0</v>
      </c>
      <c r="N32" s="43">
        <f>SUMIF('DATABASE TRANSAKSI'!C:C,'BASED DATA'!G32,'DATABASE TRANSAKSI'!E:E)</f>
        <v>0</v>
      </c>
      <c r="O32" s="44">
        <f t="shared" si="2"/>
        <v>70</v>
      </c>
    </row>
    <row r="33" spans="1:15" x14ac:dyDescent="0.25">
      <c r="A33" s="1">
        <v>27</v>
      </c>
      <c r="B33" s="5" t="str">
        <f>CONCATENATE(C33,"00",LEFT(E33,1),"-",D33)</f>
        <v>BK005-2</v>
      </c>
      <c r="C33" s="5" t="str">
        <f>VLOOKUP(G33,'KODE ITEM'!B14:C64,2,FALSE)</f>
        <v>BK</v>
      </c>
      <c r="D33" s="5">
        <f t="shared" si="1"/>
        <v>2</v>
      </c>
      <c r="E33" s="5" t="s">
        <v>83</v>
      </c>
      <c r="F33" s="33" t="s">
        <v>68</v>
      </c>
      <c r="G33" s="38" t="s">
        <v>28</v>
      </c>
      <c r="H33" s="40">
        <v>6000</v>
      </c>
      <c r="I33" s="41">
        <f>H33*I6</f>
        <v>660</v>
      </c>
      <c r="J33" s="41">
        <f>H33*J6</f>
        <v>1800</v>
      </c>
      <c r="K33" s="41">
        <f t="shared" si="0"/>
        <v>8460</v>
      </c>
      <c r="L33" s="35">
        <v>45</v>
      </c>
      <c r="M33" s="42">
        <v>0</v>
      </c>
      <c r="N33" s="43">
        <f>SUMIF('DATABASE TRANSAKSI'!C:C,'BASED DATA'!G33,'DATABASE TRANSAKSI'!E:E)</f>
        <v>0</v>
      </c>
      <c r="O33" s="44">
        <f t="shared" si="2"/>
        <v>45</v>
      </c>
    </row>
    <row r="34" spans="1:15" x14ac:dyDescent="0.25">
      <c r="A34" s="1">
        <v>28</v>
      </c>
      <c r="B34" s="5" t="str">
        <f>CONCATENATE(C34,"00",LEFT(E34,3),"-",D34)</f>
        <v>KS00100-3</v>
      </c>
      <c r="C34" s="5" t="str">
        <f>VLOOKUP(G34,'KODE ITEM'!B15:C65,2,FALSE)</f>
        <v>KS</v>
      </c>
      <c r="D34" s="5">
        <f t="shared" si="1"/>
        <v>3</v>
      </c>
      <c r="E34" s="5" t="s">
        <v>74</v>
      </c>
      <c r="F34" s="33" t="s">
        <v>68</v>
      </c>
      <c r="G34" s="38" t="s">
        <v>29</v>
      </c>
      <c r="H34" s="40">
        <v>6000</v>
      </c>
      <c r="I34" s="41">
        <f>H34*I6</f>
        <v>660</v>
      </c>
      <c r="J34" s="41">
        <f>H34*J6</f>
        <v>1800</v>
      </c>
      <c r="K34" s="41">
        <f t="shared" si="0"/>
        <v>8460</v>
      </c>
      <c r="L34" s="35">
        <v>65</v>
      </c>
      <c r="M34" s="42">
        <v>0</v>
      </c>
      <c r="N34" s="43">
        <f>SUMIF('DATABASE TRANSAKSI'!C:C,'BASED DATA'!G34,'DATABASE TRANSAKSI'!E:E)</f>
        <v>0</v>
      </c>
      <c r="O34" s="44">
        <f t="shared" si="2"/>
        <v>65</v>
      </c>
    </row>
    <row r="35" spans="1:15" x14ac:dyDescent="0.25">
      <c r="A35" s="1">
        <v>29</v>
      </c>
      <c r="B35" s="5" t="str">
        <f>CONCATENATE(C35,"00",LEFT(E35,2),"-",D35)</f>
        <v>PW0012-4</v>
      </c>
      <c r="C35" s="5" t="str">
        <f>VLOOKUP(G35,'KODE ITEM'!B16:C66,2,FALSE)</f>
        <v>PW</v>
      </c>
      <c r="D35" s="5">
        <f t="shared" si="1"/>
        <v>4</v>
      </c>
      <c r="E35" s="5" t="s">
        <v>87</v>
      </c>
      <c r="F35" s="33" t="s">
        <v>68</v>
      </c>
      <c r="G35" s="38" t="s">
        <v>30</v>
      </c>
      <c r="H35" s="40">
        <v>9000</v>
      </c>
      <c r="I35" s="41">
        <f>H35*I6</f>
        <v>990</v>
      </c>
      <c r="J35" s="41">
        <f>H35*J6</f>
        <v>2700</v>
      </c>
      <c r="K35" s="41">
        <f t="shared" si="0"/>
        <v>12690</v>
      </c>
      <c r="L35" s="35">
        <v>80</v>
      </c>
      <c r="M35" s="42">
        <v>0</v>
      </c>
      <c r="N35" s="43">
        <f>SUMIF('DATABASE TRANSAKSI'!C:C,'BASED DATA'!G35,'DATABASE TRANSAKSI'!E:E)</f>
        <v>0</v>
      </c>
      <c r="O35" s="44">
        <f t="shared" si="2"/>
        <v>80</v>
      </c>
    </row>
    <row r="36" spans="1:15" x14ac:dyDescent="0.25">
      <c r="A36" s="1">
        <v>30</v>
      </c>
      <c r="B36" s="5" t="str">
        <f>CONCATENATE(C36,"00",LEFT(E36,2),"-",D36)</f>
        <v>TE0050-5</v>
      </c>
      <c r="C36" s="5" t="str">
        <f>VLOOKUP(G36,'KODE ITEM'!B17:C67,2,FALSE)</f>
        <v>TE</v>
      </c>
      <c r="D36" s="5">
        <f t="shared" si="1"/>
        <v>5</v>
      </c>
      <c r="E36" s="5" t="s">
        <v>88</v>
      </c>
      <c r="F36" s="33" t="s">
        <v>68</v>
      </c>
      <c r="G36" s="38" t="s">
        <v>31</v>
      </c>
      <c r="H36" s="40">
        <v>5000</v>
      </c>
      <c r="I36" s="41">
        <f>H36*I6</f>
        <v>550</v>
      </c>
      <c r="J36" s="41">
        <f>H36*J6</f>
        <v>1500</v>
      </c>
      <c r="K36" s="41">
        <f t="shared" si="0"/>
        <v>7050</v>
      </c>
      <c r="L36" s="35">
        <v>100</v>
      </c>
      <c r="M36" s="42">
        <v>0</v>
      </c>
      <c r="N36" s="43">
        <f>SUMIF('DATABASE TRANSAKSI'!C:C,'BASED DATA'!G36,'DATABASE TRANSAKSI'!E:E)</f>
        <v>0</v>
      </c>
      <c r="O36" s="44">
        <f t="shared" si="2"/>
        <v>100</v>
      </c>
    </row>
    <row r="37" spans="1:15" x14ac:dyDescent="0.25">
      <c r="A37" s="1">
        <v>31</v>
      </c>
      <c r="B37" s="5" t="str">
        <f>CONCATENATE(C37,"00",LEFT(E37,3),"-",D37)</f>
        <v>DB00500-1</v>
      </c>
      <c r="C37" s="5" t="str">
        <f>VLOOKUP(G37,'KODE ITEM'!B18:C68,2,FALSE)</f>
        <v>DB</v>
      </c>
      <c r="D37" s="5">
        <f t="shared" si="1"/>
        <v>1</v>
      </c>
      <c r="E37" s="5" t="s">
        <v>79</v>
      </c>
      <c r="F37" s="33" t="s">
        <v>32</v>
      </c>
      <c r="G37" s="38" t="s">
        <v>33</v>
      </c>
      <c r="H37" s="40">
        <v>5000</v>
      </c>
      <c r="I37" s="41">
        <f>H37*I6</f>
        <v>550</v>
      </c>
      <c r="J37" s="41">
        <f>H37*J6</f>
        <v>1500</v>
      </c>
      <c r="K37" s="41">
        <f t="shared" si="0"/>
        <v>7050</v>
      </c>
      <c r="L37" s="35">
        <v>40</v>
      </c>
      <c r="M37" s="42">
        <v>0</v>
      </c>
      <c r="N37" s="43">
        <f>SUMIF('DATABASE TRANSAKSI'!C:C,'BASED DATA'!G37,'DATABASE TRANSAKSI'!E:E)</f>
        <v>0</v>
      </c>
      <c r="O37" s="44">
        <f t="shared" si="2"/>
        <v>40</v>
      </c>
    </row>
    <row r="38" spans="1:15" x14ac:dyDescent="0.25">
      <c r="A38" s="1">
        <v>32</v>
      </c>
      <c r="B38" s="5" t="str">
        <f>CONCATENATE(C38,"00",LEFT(E38,3),"-",D38)</f>
        <v>SP00500-2</v>
      </c>
      <c r="C38" s="5" t="str">
        <f>VLOOKUP(G38,'KODE ITEM'!B19:C69,2,FALSE)</f>
        <v>SP</v>
      </c>
      <c r="D38" s="5">
        <f t="shared" si="1"/>
        <v>2</v>
      </c>
      <c r="E38" s="5" t="s">
        <v>80</v>
      </c>
      <c r="F38" s="33" t="s">
        <v>32</v>
      </c>
      <c r="G38" s="38" t="s">
        <v>34</v>
      </c>
      <c r="H38" s="40">
        <v>5000</v>
      </c>
      <c r="I38" s="41">
        <f>H38*I6</f>
        <v>550</v>
      </c>
      <c r="J38" s="41">
        <f>H38*J6</f>
        <v>1500</v>
      </c>
      <c r="K38" s="41">
        <f t="shared" si="0"/>
        <v>7050</v>
      </c>
      <c r="L38" s="35">
        <v>45</v>
      </c>
      <c r="M38" s="42">
        <v>0</v>
      </c>
      <c r="N38" s="43">
        <f>SUMIF('DATABASE TRANSAKSI'!C:C,'BASED DATA'!G38,'DATABASE TRANSAKSI'!E:E)</f>
        <v>0</v>
      </c>
      <c r="O38" s="44">
        <f t="shared" si="2"/>
        <v>45</v>
      </c>
    </row>
    <row r="39" spans="1:15" x14ac:dyDescent="0.25">
      <c r="A39" s="1">
        <v>33</v>
      </c>
      <c r="B39" s="5" t="str">
        <f>CONCATENATE(C39,"00",LEFT(E39,1),"-",D39)</f>
        <v>PL001-3</v>
      </c>
      <c r="C39" s="5" t="str">
        <f>VLOOKUP(G39,'KODE ITEM'!B20:C70,2,FALSE)</f>
        <v>PL</v>
      </c>
      <c r="D39" s="5">
        <f t="shared" si="1"/>
        <v>3</v>
      </c>
      <c r="E39" s="5" t="s">
        <v>56</v>
      </c>
      <c r="F39" s="33" t="s">
        <v>32</v>
      </c>
      <c r="G39" s="38" t="s">
        <v>35</v>
      </c>
      <c r="H39" s="40">
        <v>10000</v>
      </c>
      <c r="I39" s="41">
        <f>H39*I6</f>
        <v>1100</v>
      </c>
      <c r="J39" s="41">
        <f>H39*J6</f>
        <v>3000</v>
      </c>
      <c r="K39" s="41">
        <f t="shared" si="0"/>
        <v>14100</v>
      </c>
      <c r="L39" s="35">
        <v>50</v>
      </c>
      <c r="M39" s="42">
        <v>0</v>
      </c>
      <c r="N39" s="43">
        <f>SUMIF('DATABASE TRANSAKSI'!C:C,'BASED DATA'!G39,'DATABASE TRANSAKSI'!E:E)</f>
        <v>0</v>
      </c>
      <c r="O39" s="44">
        <f t="shared" si="2"/>
        <v>50</v>
      </c>
    </row>
    <row r="40" spans="1:15" x14ac:dyDescent="0.25">
      <c r="A40" s="1">
        <v>34</v>
      </c>
      <c r="B40" s="5" t="str">
        <f>CONCATENATE(C40,"00",LEFT(E40,3),"-",D40)</f>
        <v>PP00500-4</v>
      </c>
      <c r="C40" s="5" t="str">
        <f>VLOOKUP(G40,'KODE ITEM'!B21:C71,2,FALSE)</f>
        <v>PP</v>
      </c>
      <c r="D40" s="5">
        <f t="shared" si="1"/>
        <v>4</v>
      </c>
      <c r="E40" s="5" t="s">
        <v>80</v>
      </c>
      <c r="F40" s="33" t="s">
        <v>32</v>
      </c>
      <c r="G40" s="38" t="s">
        <v>36</v>
      </c>
      <c r="H40" s="40">
        <v>8000</v>
      </c>
      <c r="I40" s="41">
        <f>H40*I6</f>
        <v>880</v>
      </c>
      <c r="J40" s="41">
        <f>H40*J6</f>
        <v>2400</v>
      </c>
      <c r="K40" s="41">
        <f t="shared" si="0"/>
        <v>11280</v>
      </c>
      <c r="L40" s="35">
        <v>100</v>
      </c>
      <c r="M40" s="42">
        <v>0</v>
      </c>
      <c r="N40" s="43">
        <f>SUMIF('DATABASE TRANSAKSI'!C:C,'BASED DATA'!G40,'DATABASE TRANSAKSI'!E:E)</f>
        <v>0</v>
      </c>
      <c r="O40" s="44">
        <f t="shared" si="2"/>
        <v>100</v>
      </c>
    </row>
    <row r="41" spans="1:15" x14ac:dyDescent="0.25">
      <c r="A41" s="1">
        <v>35</v>
      </c>
      <c r="B41" s="5" t="str">
        <f>CONCATENATE(C41,"00",LEFT(E41,1),"-",D41)</f>
        <v>SL001-5</v>
      </c>
      <c r="C41" s="5" t="str">
        <f>VLOOKUP(G41,'KODE ITEM'!B22:C72,2,FALSE)</f>
        <v>SL</v>
      </c>
      <c r="D41" s="5">
        <f t="shared" si="1"/>
        <v>5</v>
      </c>
      <c r="E41" s="5" t="s">
        <v>57</v>
      </c>
      <c r="F41" s="33" t="s">
        <v>32</v>
      </c>
      <c r="G41" s="38" t="s">
        <v>37</v>
      </c>
      <c r="H41" s="40">
        <v>3000</v>
      </c>
      <c r="I41" s="41">
        <f>H41*I6</f>
        <v>330</v>
      </c>
      <c r="J41" s="41">
        <f>H41*J6</f>
        <v>900</v>
      </c>
      <c r="K41" s="41">
        <f t="shared" si="0"/>
        <v>4230</v>
      </c>
      <c r="L41" s="35">
        <v>95</v>
      </c>
      <c r="M41" s="42">
        <v>0</v>
      </c>
      <c r="N41" s="43">
        <f>SUMIF('DATABASE TRANSAKSI'!C:C,'BASED DATA'!G41,'DATABASE TRANSAKSI'!E:E)</f>
        <v>0</v>
      </c>
      <c r="O41" s="44">
        <f t="shared" si="2"/>
        <v>95</v>
      </c>
    </row>
    <row r="42" spans="1:15" x14ac:dyDescent="0.25">
      <c r="A42" s="1">
        <v>36</v>
      </c>
      <c r="B42" s="5" t="str">
        <f>CONCATENATE(C42,"00",LEFT(E42,1),"-",D42)</f>
        <v>GK001-6</v>
      </c>
      <c r="C42" s="5" t="str">
        <f>VLOOKUP(G42,'KODE ITEM'!B23:C73,2,FALSE)</f>
        <v>GK</v>
      </c>
      <c r="D42" s="5">
        <f t="shared" si="1"/>
        <v>6</v>
      </c>
      <c r="E42" s="5" t="s">
        <v>57</v>
      </c>
      <c r="F42" s="33" t="s">
        <v>32</v>
      </c>
      <c r="G42" s="38" t="s">
        <v>38</v>
      </c>
      <c r="H42" s="40">
        <v>15000</v>
      </c>
      <c r="I42" s="41">
        <f>H42*I6</f>
        <v>1650</v>
      </c>
      <c r="J42" s="41">
        <f>H42*J6</f>
        <v>4500</v>
      </c>
      <c r="K42" s="41">
        <f t="shared" si="0"/>
        <v>21150</v>
      </c>
      <c r="L42" s="35">
        <v>50</v>
      </c>
      <c r="M42" s="42">
        <v>0</v>
      </c>
      <c r="N42" s="43">
        <f>SUMIF('DATABASE TRANSAKSI'!C:C,'BASED DATA'!G42,'DATABASE TRANSAKSI'!E:E)</f>
        <v>0</v>
      </c>
      <c r="O42" s="44">
        <f t="shared" si="2"/>
        <v>50</v>
      </c>
    </row>
    <row r="43" spans="1:15" x14ac:dyDescent="0.25">
      <c r="A43" s="1">
        <v>37</v>
      </c>
      <c r="B43" s="5" t="str">
        <f>CONCATENATE(C43,"00",LEFT(E43,2),"-",D43)</f>
        <v>TI0010-7</v>
      </c>
      <c r="C43" s="5" t="str">
        <f>VLOOKUP(G43,'KODE ITEM'!B24:C74,2,FALSE)</f>
        <v>TI</v>
      </c>
      <c r="D43" s="5">
        <f t="shared" si="1"/>
        <v>7</v>
      </c>
      <c r="E43" s="5" t="s">
        <v>89</v>
      </c>
      <c r="F43" s="33" t="s">
        <v>32</v>
      </c>
      <c r="G43" s="38" t="s">
        <v>39</v>
      </c>
      <c r="H43" s="40">
        <v>12000</v>
      </c>
      <c r="I43" s="41">
        <f>H43*I6</f>
        <v>1320</v>
      </c>
      <c r="J43" s="41">
        <f>H43*J6</f>
        <v>3600</v>
      </c>
      <c r="K43" s="41">
        <f t="shared" si="0"/>
        <v>16920</v>
      </c>
      <c r="L43" s="35">
        <v>20</v>
      </c>
      <c r="M43" s="42">
        <v>0</v>
      </c>
      <c r="N43" s="43">
        <f>SUMIF('DATABASE TRANSAKSI'!C:C,'BASED DATA'!G43,'DATABASE TRANSAKSI'!E:E)</f>
        <v>0</v>
      </c>
      <c r="O43" s="44">
        <f t="shared" si="2"/>
        <v>20</v>
      </c>
    </row>
    <row r="44" spans="1:15" x14ac:dyDescent="0.25">
      <c r="A44" s="1">
        <v>38</v>
      </c>
      <c r="B44" s="5" t="str">
        <f t="shared" ref="B44:B52" si="3">CONCATENATE(C44,"00",LEFT(E44,1),"-",D44)</f>
        <v>JB001-8</v>
      </c>
      <c r="C44" s="5" t="str">
        <f>VLOOKUP(G44,'KODE ITEM'!B25:C75,2,FALSE)</f>
        <v>JB</v>
      </c>
      <c r="D44" s="5">
        <f t="shared" si="1"/>
        <v>8</v>
      </c>
      <c r="E44" s="5" t="s">
        <v>59</v>
      </c>
      <c r="F44" s="33" t="s">
        <v>32</v>
      </c>
      <c r="G44" s="38" t="s">
        <v>40</v>
      </c>
      <c r="H44" s="40">
        <v>5000</v>
      </c>
      <c r="I44" s="41">
        <f>H44*I6</f>
        <v>550</v>
      </c>
      <c r="J44" s="41">
        <f>H44*J6</f>
        <v>1500</v>
      </c>
      <c r="K44" s="41">
        <f t="shared" si="0"/>
        <v>7050</v>
      </c>
      <c r="L44" s="35">
        <v>20</v>
      </c>
      <c r="M44" s="42">
        <v>0</v>
      </c>
      <c r="N44" s="43">
        <f>SUMIF('DATABASE TRANSAKSI'!C:C,'BASED DATA'!G44,'DATABASE TRANSAKSI'!E:E)</f>
        <v>0</v>
      </c>
      <c r="O44" s="44">
        <f t="shared" si="2"/>
        <v>20</v>
      </c>
    </row>
    <row r="45" spans="1:15" x14ac:dyDescent="0.25">
      <c r="A45" s="1">
        <v>39</v>
      </c>
      <c r="B45" s="5" t="str">
        <f t="shared" si="3"/>
        <v>BI001-9</v>
      </c>
      <c r="C45" s="5" t="str">
        <f>VLOOKUP(G45,'KODE ITEM'!B26:C76,2,FALSE)</f>
        <v>BI</v>
      </c>
      <c r="D45" s="5">
        <f t="shared" si="1"/>
        <v>9</v>
      </c>
      <c r="E45" s="5" t="s">
        <v>57</v>
      </c>
      <c r="F45" s="33" t="s">
        <v>32</v>
      </c>
      <c r="G45" s="38" t="s">
        <v>41</v>
      </c>
      <c r="H45" s="40">
        <v>3000</v>
      </c>
      <c r="I45" s="41">
        <f>H45*I6</f>
        <v>330</v>
      </c>
      <c r="J45" s="41">
        <f>H45*J6</f>
        <v>900</v>
      </c>
      <c r="K45" s="41">
        <f t="shared" si="0"/>
        <v>4230</v>
      </c>
      <c r="L45" s="35">
        <v>10</v>
      </c>
      <c r="M45" s="42">
        <v>0</v>
      </c>
      <c r="N45" s="43">
        <f>SUMIF('DATABASE TRANSAKSI'!C:C,'BASED DATA'!G45,'DATABASE TRANSAKSI'!E:E)</f>
        <v>0</v>
      </c>
      <c r="O45" s="44">
        <f t="shared" si="2"/>
        <v>10</v>
      </c>
    </row>
    <row r="46" spans="1:15" x14ac:dyDescent="0.25">
      <c r="A46" s="1">
        <v>40</v>
      </c>
      <c r="B46" s="5" t="str">
        <f t="shared" si="3"/>
        <v>LN001-10</v>
      </c>
      <c r="C46" s="5" t="str">
        <f>VLOOKUP(G46,'KODE ITEM'!B27:C77,2,FALSE)</f>
        <v>LN</v>
      </c>
      <c r="D46" s="5">
        <f t="shared" si="1"/>
        <v>10</v>
      </c>
      <c r="E46" s="5" t="s">
        <v>58</v>
      </c>
      <c r="F46" s="33" t="s">
        <v>32</v>
      </c>
      <c r="G46" s="38" t="s">
        <v>42</v>
      </c>
      <c r="H46" s="40">
        <v>2000</v>
      </c>
      <c r="I46" s="41">
        <f>H46*I6</f>
        <v>220</v>
      </c>
      <c r="J46" s="41">
        <f>H46*J6</f>
        <v>600</v>
      </c>
      <c r="K46" s="41">
        <f t="shared" si="0"/>
        <v>2820</v>
      </c>
      <c r="L46" s="35">
        <v>10</v>
      </c>
      <c r="M46" s="42">
        <v>0</v>
      </c>
      <c r="N46" s="43">
        <f>SUMIF('DATABASE TRANSAKSI'!C:C,'BASED DATA'!G46,'DATABASE TRANSAKSI'!E:E)</f>
        <v>0</v>
      </c>
      <c r="O46" s="44">
        <f t="shared" si="2"/>
        <v>10</v>
      </c>
    </row>
    <row r="47" spans="1:15" x14ac:dyDescent="0.25">
      <c r="A47" s="1">
        <v>41</v>
      </c>
      <c r="B47" s="5" t="str">
        <f t="shared" si="3"/>
        <v>BS001-1</v>
      </c>
      <c r="C47" s="5" t="str">
        <f>VLOOKUP(G47,'KODE ITEM'!B28:C78,2,FALSE)</f>
        <v>BS</v>
      </c>
      <c r="D47" s="5">
        <f t="shared" si="1"/>
        <v>1</v>
      </c>
      <c r="E47" s="5" t="s">
        <v>57</v>
      </c>
      <c r="F47" s="33" t="s">
        <v>69</v>
      </c>
      <c r="G47" s="38" t="s">
        <v>43</v>
      </c>
      <c r="H47" s="40">
        <v>3500</v>
      </c>
      <c r="I47" s="41">
        <f>H47*I6</f>
        <v>385</v>
      </c>
      <c r="J47" s="41">
        <f>H47*J6</f>
        <v>1050</v>
      </c>
      <c r="K47" s="41">
        <f t="shared" si="0"/>
        <v>4935</v>
      </c>
      <c r="L47" s="35">
        <v>25</v>
      </c>
      <c r="M47" s="42">
        <v>0</v>
      </c>
      <c r="N47" s="43">
        <f>SUMIF('DATABASE TRANSAKSI'!C:C,'BASED DATA'!G47,'DATABASE TRANSAKSI'!E:E)</f>
        <v>0</v>
      </c>
      <c r="O47" s="44">
        <f t="shared" si="2"/>
        <v>25</v>
      </c>
    </row>
    <row r="48" spans="1:15" x14ac:dyDescent="0.25">
      <c r="A48" s="1">
        <v>42</v>
      </c>
      <c r="B48" s="5" t="str">
        <f t="shared" si="3"/>
        <v>PU001-1</v>
      </c>
      <c r="C48" s="5" t="str">
        <f>VLOOKUP(G48,'KODE ITEM'!B29:C79,2,FALSE)</f>
        <v>PU</v>
      </c>
      <c r="D48" s="5">
        <f t="shared" si="1"/>
        <v>1</v>
      </c>
      <c r="E48" s="5" t="s">
        <v>57</v>
      </c>
      <c r="F48" s="33" t="s">
        <v>70</v>
      </c>
      <c r="G48" s="38" t="s">
        <v>44</v>
      </c>
      <c r="H48" s="40">
        <v>3000</v>
      </c>
      <c r="I48" s="41">
        <f>H48*I6</f>
        <v>330</v>
      </c>
      <c r="J48" s="41">
        <f>H48*J6</f>
        <v>900</v>
      </c>
      <c r="K48" s="41">
        <f t="shared" si="0"/>
        <v>4230</v>
      </c>
      <c r="L48" s="35">
        <v>20</v>
      </c>
      <c r="M48" s="42">
        <v>0</v>
      </c>
      <c r="N48" s="43">
        <f>SUMIF('DATABASE TRANSAKSI'!C:C,'BASED DATA'!G48,'DATABASE TRANSAKSI'!E:E)</f>
        <v>0</v>
      </c>
      <c r="O48" s="44">
        <f t="shared" si="2"/>
        <v>20</v>
      </c>
    </row>
    <row r="49" spans="1:15" x14ac:dyDescent="0.25">
      <c r="A49" s="1">
        <v>43</v>
      </c>
      <c r="B49" s="5" t="str">
        <f t="shared" si="3"/>
        <v>PE001-2</v>
      </c>
      <c r="C49" s="5" t="str">
        <f>VLOOKUP(G49,'KODE ITEM'!B30:C80,2,FALSE)</f>
        <v>PE</v>
      </c>
      <c r="D49" s="5">
        <f t="shared" si="1"/>
        <v>2</v>
      </c>
      <c r="E49" s="5" t="s">
        <v>57</v>
      </c>
      <c r="F49" s="33" t="s">
        <v>70</v>
      </c>
      <c r="G49" s="38" t="s">
        <v>45</v>
      </c>
      <c r="H49" s="40">
        <v>2000</v>
      </c>
      <c r="I49" s="41">
        <f>H49*I6</f>
        <v>220</v>
      </c>
      <c r="J49" s="41">
        <f>H49*J6</f>
        <v>600</v>
      </c>
      <c r="K49" s="41">
        <f t="shared" si="0"/>
        <v>2820</v>
      </c>
      <c r="L49" s="35">
        <v>20</v>
      </c>
      <c r="M49" s="42">
        <v>0</v>
      </c>
      <c r="N49" s="43">
        <f>SUMIF('DATABASE TRANSAKSI'!C:C,'BASED DATA'!G49,'DATABASE TRANSAKSI'!E:E)</f>
        <v>0</v>
      </c>
      <c r="O49" s="44">
        <f t="shared" si="2"/>
        <v>20</v>
      </c>
    </row>
    <row r="50" spans="1:15" x14ac:dyDescent="0.25">
      <c r="A50" s="1">
        <v>44</v>
      </c>
      <c r="B50" s="5" t="str">
        <f t="shared" si="3"/>
        <v>PR001-1</v>
      </c>
      <c r="C50" s="5" t="str">
        <f>VLOOKUP(G50,'KODE ITEM'!B31:C81,2,FALSE)</f>
        <v>PR</v>
      </c>
      <c r="D50" s="5">
        <f t="shared" si="1"/>
        <v>1</v>
      </c>
      <c r="E50" s="5" t="s">
        <v>57</v>
      </c>
      <c r="F50" s="33" t="s">
        <v>69</v>
      </c>
      <c r="G50" s="38" t="s">
        <v>46</v>
      </c>
      <c r="H50" s="40">
        <v>3000</v>
      </c>
      <c r="I50" s="41">
        <f>H50*I6</f>
        <v>330</v>
      </c>
      <c r="J50" s="41">
        <f>H50*J6</f>
        <v>900</v>
      </c>
      <c r="K50" s="41">
        <f t="shared" si="0"/>
        <v>4230</v>
      </c>
      <c r="L50" s="35">
        <v>20</v>
      </c>
      <c r="M50" s="42">
        <v>0</v>
      </c>
      <c r="N50" s="43">
        <f>SUMIF('DATABASE TRANSAKSI'!C:C,'BASED DATA'!G50,'DATABASE TRANSAKSI'!E:E)</f>
        <v>0</v>
      </c>
      <c r="O50" s="44">
        <f t="shared" si="2"/>
        <v>20</v>
      </c>
    </row>
    <row r="51" spans="1:15" x14ac:dyDescent="0.25">
      <c r="A51" s="1">
        <v>45</v>
      </c>
      <c r="B51" s="5" t="str">
        <f t="shared" si="3"/>
        <v>PH001-2</v>
      </c>
      <c r="C51" s="5" t="str">
        <f>VLOOKUP(G51,'KODE ITEM'!B32:C82,2,FALSE)</f>
        <v>PH</v>
      </c>
      <c r="D51" s="5">
        <f t="shared" si="1"/>
        <v>2</v>
      </c>
      <c r="E51" s="5" t="s">
        <v>57</v>
      </c>
      <c r="F51" s="33" t="s">
        <v>69</v>
      </c>
      <c r="G51" s="38" t="s">
        <v>47</v>
      </c>
      <c r="H51" s="40">
        <v>1000</v>
      </c>
      <c r="I51" s="41">
        <f>H51*I6</f>
        <v>110</v>
      </c>
      <c r="J51" s="41">
        <f>H51*J6</f>
        <v>300</v>
      </c>
      <c r="K51" s="41">
        <f t="shared" si="0"/>
        <v>1410</v>
      </c>
      <c r="L51" s="35">
        <v>20</v>
      </c>
      <c r="M51" s="42">
        <v>0</v>
      </c>
      <c r="N51" s="43">
        <f>SUMIF('DATABASE TRANSAKSI'!C:C,'BASED DATA'!G51,'DATABASE TRANSAKSI'!E:E)</f>
        <v>0</v>
      </c>
      <c r="O51" s="44">
        <f t="shared" si="2"/>
        <v>20</v>
      </c>
    </row>
    <row r="52" spans="1:15" x14ac:dyDescent="0.25">
      <c r="A52" s="8">
        <v>46</v>
      </c>
      <c r="B52" s="5" t="str">
        <f t="shared" si="3"/>
        <v>RN001-3</v>
      </c>
      <c r="C52" s="5" t="str">
        <f>VLOOKUP(G52,'KODE ITEM'!B33:C83,2,FALSE)</f>
        <v>RN</v>
      </c>
      <c r="D52" s="5">
        <f t="shared" si="1"/>
        <v>3</v>
      </c>
      <c r="E52" s="5" t="s">
        <v>57</v>
      </c>
      <c r="F52" s="33" t="s">
        <v>69</v>
      </c>
      <c r="G52" s="38" t="s">
        <v>48</v>
      </c>
      <c r="H52" s="40">
        <v>1000</v>
      </c>
      <c r="I52" s="41">
        <f>H52*I6</f>
        <v>110</v>
      </c>
      <c r="J52" s="41">
        <f>H52*J6</f>
        <v>300</v>
      </c>
      <c r="K52" s="41">
        <f t="shared" si="0"/>
        <v>1410</v>
      </c>
      <c r="L52" s="35">
        <v>20</v>
      </c>
      <c r="M52" s="42">
        <v>0</v>
      </c>
      <c r="N52" s="43">
        <f>SUMIF('DATABASE TRANSAKSI'!C:C,'BASED DATA'!G52,'DATABASE TRANSAKSI'!E:E)</f>
        <v>0</v>
      </c>
      <c r="O52" s="44">
        <f t="shared" si="2"/>
        <v>20</v>
      </c>
    </row>
    <row r="53" spans="1:15" x14ac:dyDescent="0.25">
      <c r="A53" s="1">
        <v>47</v>
      </c>
      <c r="B53" s="5" t="str">
        <f>CONCATENATE(C53,"00",LEFT(E53,2),"-",D53)</f>
        <v>LM0015-4</v>
      </c>
      <c r="C53" s="5" t="str">
        <f>VLOOKUP(G53,'KODE ITEM'!B34:C84,2,FALSE)</f>
        <v>LM</v>
      </c>
      <c r="D53" s="5">
        <f t="shared" si="1"/>
        <v>4</v>
      </c>
      <c r="E53" s="5" t="s">
        <v>90</v>
      </c>
      <c r="F53" s="33" t="s">
        <v>69</v>
      </c>
      <c r="G53" s="38" t="s">
        <v>49</v>
      </c>
      <c r="H53" s="40">
        <v>5000</v>
      </c>
      <c r="I53" s="41">
        <f>H53*I6</f>
        <v>550</v>
      </c>
      <c r="J53" s="41">
        <f>H53*J6</f>
        <v>1500</v>
      </c>
      <c r="K53" s="41">
        <f t="shared" si="0"/>
        <v>7050</v>
      </c>
      <c r="L53" s="35">
        <v>25</v>
      </c>
      <c r="M53" s="42">
        <v>0</v>
      </c>
      <c r="N53" s="43">
        <f>SUMIF('DATABASE TRANSAKSI'!C:C,'BASED DATA'!G53,'DATABASE TRANSAKSI'!E:E)</f>
        <v>0</v>
      </c>
      <c r="O53" s="44">
        <f t="shared" si="2"/>
        <v>25</v>
      </c>
    </row>
    <row r="54" spans="1:15" x14ac:dyDescent="0.25">
      <c r="A54" s="1">
        <v>48</v>
      </c>
      <c r="B54" s="5" t="str">
        <f>CONCATENATE(C54,"00",LEFT(E54,1),"-",D54)</f>
        <v>GG001-5</v>
      </c>
      <c r="C54" s="5" t="str">
        <f>VLOOKUP(G54,'KODE ITEM'!B35:C85,2,FALSE)</f>
        <v>GG</v>
      </c>
      <c r="D54" s="5">
        <f t="shared" si="1"/>
        <v>5</v>
      </c>
      <c r="E54" s="5" t="s">
        <v>57</v>
      </c>
      <c r="F54" s="33" t="s">
        <v>69</v>
      </c>
      <c r="G54" s="38" t="s">
        <v>50</v>
      </c>
      <c r="H54" s="40">
        <v>8000</v>
      </c>
      <c r="I54" s="41">
        <f>H54*I6</f>
        <v>880</v>
      </c>
      <c r="J54" s="41">
        <f>H54*J6</f>
        <v>2400</v>
      </c>
      <c r="K54" s="41">
        <f t="shared" si="0"/>
        <v>11280</v>
      </c>
      <c r="L54" s="35">
        <v>30</v>
      </c>
      <c r="M54" s="42">
        <v>0</v>
      </c>
      <c r="N54" s="43">
        <f>SUMIF('DATABASE TRANSAKSI'!C:C,'BASED DATA'!G54,'DATABASE TRANSAKSI'!E:E)</f>
        <v>0</v>
      </c>
      <c r="O54" s="44">
        <f t="shared" si="2"/>
        <v>30</v>
      </c>
    </row>
    <row r="55" spans="1:15" x14ac:dyDescent="0.25">
      <c r="A55" s="1">
        <v>49</v>
      </c>
      <c r="B55" s="5" t="str">
        <f>CONCATENATE(C55,"00",LEFT(E55,1),"-",D55)</f>
        <v>KV001-6</v>
      </c>
      <c r="C55" s="5" t="str">
        <f>VLOOKUP(G55,'KODE ITEM'!B36:C86,2,FALSE)</f>
        <v>KV</v>
      </c>
      <c r="D55" s="5">
        <f t="shared" si="1"/>
        <v>6</v>
      </c>
      <c r="E55" s="5" t="s">
        <v>60</v>
      </c>
      <c r="F55" s="33" t="s">
        <v>69</v>
      </c>
      <c r="G55" s="38" t="s">
        <v>51</v>
      </c>
      <c r="H55" s="40">
        <v>1000</v>
      </c>
      <c r="I55" s="41">
        <f>H55*I6</f>
        <v>110</v>
      </c>
      <c r="J55" s="41">
        <f>H55*J6</f>
        <v>300</v>
      </c>
      <c r="K55" s="41">
        <f t="shared" si="0"/>
        <v>1410</v>
      </c>
      <c r="L55" s="35">
        <v>5</v>
      </c>
      <c r="M55" s="42">
        <v>0</v>
      </c>
      <c r="N55" s="43">
        <f>SUMIF('DATABASE TRANSAKSI'!C:C,'BASED DATA'!G55,'DATABASE TRANSAKSI'!E:E)</f>
        <v>0</v>
      </c>
      <c r="O55" s="44">
        <f t="shared" si="2"/>
        <v>5</v>
      </c>
    </row>
    <row r="56" spans="1:15" x14ac:dyDescent="0.25">
      <c r="A56" s="1">
        <v>50</v>
      </c>
      <c r="B56" s="5" t="str">
        <f>CONCATENATE(C56,"00",LEFT(E56,1),"-",D56)</f>
        <v>LO001-7</v>
      </c>
      <c r="C56" s="5" t="str">
        <f>VLOOKUP(G56,'KODE ITEM'!B37:C87,2,FALSE)</f>
        <v>LO</v>
      </c>
      <c r="D56" s="5">
        <f t="shared" si="1"/>
        <v>7</v>
      </c>
      <c r="E56" s="5" t="s">
        <v>57</v>
      </c>
      <c r="F56" s="33" t="s">
        <v>69</v>
      </c>
      <c r="G56" s="38" t="s">
        <v>52</v>
      </c>
      <c r="H56" s="40">
        <v>3000</v>
      </c>
      <c r="I56" s="41">
        <f>H56*I6</f>
        <v>330</v>
      </c>
      <c r="J56" s="41">
        <f>H56*J6</f>
        <v>900</v>
      </c>
      <c r="K56" s="41">
        <f t="shared" si="0"/>
        <v>4230</v>
      </c>
      <c r="L56" s="35">
        <v>5</v>
      </c>
      <c r="M56" s="42">
        <v>0</v>
      </c>
      <c r="N56" s="43">
        <f>SUMIF('DATABASE TRANSAKSI'!C:C,'BASED DATA'!G56,'DATABASE TRANSAKSI'!E:E)</f>
        <v>0</v>
      </c>
      <c r="O56" s="44">
        <f t="shared" si="2"/>
        <v>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8A0939-EBE0-4E47-8FA9-EEADEF11BC4D}">
  <sheetPr codeName="Sheet1"/>
  <dimension ref="A1:O6"/>
  <sheetViews>
    <sheetView zoomScaleNormal="100" workbookViewId="0">
      <selection activeCell="C15" sqref="C15"/>
    </sheetView>
  </sheetViews>
  <sheetFormatPr defaultRowHeight="15" x14ac:dyDescent="0.25"/>
  <cols>
    <col min="1" max="1" width="13.7109375" customWidth="1"/>
    <col min="2" max="2" width="18.5703125" customWidth="1"/>
    <col min="3" max="3" width="12.42578125" customWidth="1"/>
    <col min="4" max="4" width="13.42578125" customWidth="1"/>
    <col min="5" max="5" width="14" customWidth="1"/>
    <col min="6" max="6" width="12.85546875" customWidth="1"/>
    <col min="7" max="7" width="19.140625" customWidth="1"/>
    <col min="8" max="8" width="16.5703125" customWidth="1"/>
    <col min="9" max="10" width="11" customWidth="1"/>
    <col min="12" max="12" width="10.7109375" customWidth="1"/>
    <col min="13" max="15" width="12.28515625" customWidth="1"/>
  </cols>
  <sheetData>
    <row r="1" spans="1:15" ht="23.25" x14ac:dyDescent="0.25">
      <c r="A1" s="49" t="s">
        <v>169</v>
      </c>
      <c r="B1" s="5"/>
      <c r="C1" s="5"/>
      <c r="D1" s="5"/>
      <c r="E1" s="5"/>
      <c r="F1" s="5"/>
    </row>
    <row r="3" spans="1:15" x14ac:dyDescent="0.25">
      <c r="A3" t="s">
        <v>170</v>
      </c>
    </row>
    <row r="5" spans="1:15" ht="30" x14ac:dyDescent="0.25">
      <c r="G5" s="35"/>
      <c r="H5" s="35"/>
      <c r="I5" s="36" t="s">
        <v>92</v>
      </c>
      <c r="J5" s="36" t="s">
        <v>94</v>
      </c>
      <c r="K5" s="37" t="s">
        <v>93</v>
      </c>
      <c r="L5" s="37" t="s">
        <v>95</v>
      </c>
      <c r="M5" s="35"/>
      <c r="N5" s="35"/>
      <c r="O5" s="35"/>
    </row>
    <row r="6" spans="1:15" x14ac:dyDescent="0.25">
      <c r="A6" s="65" t="s">
        <v>0</v>
      </c>
      <c r="B6" s="66" t="s">
        <v>61</v>
      </c>
      <c r="C6" s="67" t="s">
        <v>62</v>
      </c>
      <c r="D6" s="68" t="s">
        <v>91</v>
      </c>
      <c r="E6" s="66" t="s">
        <v>63</v>
      </c>
      <c r="F6" s="69" t="s">
        <v>64</v>
      </c>
      <c r="G6" s="38" t="s">
        <v>1</v>
      </c>
      <c r="H6" s="38" t="s">
        <v>53</v>
      </c>
      <c r="I6" s="39">
        <v>0.11</v>
      </c>
      <c r="J6" s="39">
        <v>0.3</v>
      </c>
      <c r="K6" s="35"/>
      <c r="L6" s="38" t="s">
        <v>96</v>
      </c>
      <c r="M6" s="38" t="s">
        <v>147</v>
      </c>
      <c r="N6" s="38" t="s">
        <v>148</v>
      </c>
      <c r="O6" s="38" t="s">
        <v>154</v>
      </c>
    </row>
  </sheetData>
  <pageMargins left="0.7" right="0.7" top="0.75" bottom="0.75" header="0.3" footer="0.3"/>
  <drawing r:id="rId1"/>
  <legacyDrawing r:id="rId2"/>
  <controls>
    <mc:AlternateContent xmlns:mc="http://schemas.openxmlformats.org/markup-compatibility/2006">
      <mc:Choice Requires="x14">
        <control shapeId="7169" r:id="rId3" name="TextBox1">
          <controlPr defaultSize="0" autoLine="0" autoPict="0" r:id="rId4">
            <anchor moveWithCells="1">
              <from>
                <xdr:col>1</xdr:col>
                <xdr:colOff>66675</xdr:colOff>
                <xdr:row>2</xdr:row>
                <xdr:rowOff>9525</xdr:rowOff>
              </from>
              <to>
                <xdr:col>2</xdr:col>
                <xdr:colOff>9525</xdr:colOff>
                <xdr:row>3</xdr:row>
                <xdr:rowOff>76200</xdr:rowOff>
              </to>
            </anchor>
          </controlPr>
        </control>
      </mc:Choice>
      <mc:Fallback>
        <control shapeId="7169" r:id="rId3" name="TextBox1"/>
      </mc:Fallback>
    </mc:AlternateContent>
  </control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19DB6C-3418-4307-96A8-B4DE223390C7}">
  <sheetPr codeName="Sheet5"/>
  <dimension ref="A1:F5"/>
  <sheetViews>
    <sheetView workbookViewId="0">
      <selection activeCell="D1" sqref="D1"/>
    </sheetView>
  </sheetViews>
  <sheetFormatPr defaultRowHeight="15" x14ac:dyDescent="0.25"/>
  <cols>
    <col min="1" max="1" width="11" customWidth="1"/>
    <col min="2" max="2" width="9.7109375" customWidth="1"/>
    <col min="3" max="3" width="14.85546875" bestFit="1" customWidth="1"/>
    <col min="6" max="6" width="10.85546875" customWidth="1"/>
  </cols>
  <sheetData>
    <row r="1" spans="1:6" ht="15.75" x14ac:dyDescent="0.25">
      <c r="A1" s="30" t="s">
        <v>163</v>
      </c>
    </row>
    <row r="2" spans="1:6" x14ac:dyDescent="0.25">
      <c r="A2" s="26" t="s">
        <v>164</v>
      </c>
    </row>
    <row r="3" spans="1:6" x14ac:dyDescent="0.25">
      <c r="A3" s="32" t="s">
        <v>165</v>
      </c>
    </row>
    <row r="4" spans="1:6" x14ac:dyDescent="0.25">
      <c r="A4" s="31"/>
      <c r="C4" s="31">
        <f ca="1">TODAY()</f>
        <v>45868</v>
      </c>
    </row>
    <row r="5" spans="1:6" x14ac:dyDescent="0.25">
      <c r="A5" s="29" t="s">
        <v>149</v>
      </c>
      <c r="B5" s="29" t="s">
        <v>150</v>
      </c>
      <c r="C5" s="29" t="s">
        <v>1</v>
      </c>
      <c r="D5" s="29" t="s">
        <v>151</v>
      </c>
      <c r="E5" s="29" t="s">
        <v>152</v>
      </c>
      <c r="F5" s="29" t="s">
        <v>155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E9FF99-8C78-4EB3-A4FA-978872995BAC}">
  <sheetPr codeName="Sheet6"/>
  <dimension ref="A1:I1"/>
  <sheetViews>
    <sheetView workbookViewId="0"/>
  </sheetViews>
  <sheetFormatPr defaultRowHeight="15" x14ac:dyDescent="0.25"/>
  <cols>
    <col min="1" max="1" width="10.85546875" customWidth="1"/>
    <col min="2" max="2" width="10.140625" customWidth="1"/>
    <col min="3" max="3" width="15.5703125" customWidth="1"/>
    <col min="4" max="4" width="8.85546875" customWidth="1"/>
    <col min="5" max="5" width="10" customWidth="1"/>
    <col min="6" max="6" width="12.28515625" customWidth="1"/>
    <col min="8" max="8" width="11.140625" customWidth="1"/>
    <col min="9" max="9" width="15.28515625" customWidth="1"/>
  </cols>
  <sheetData>
    <row r="1" spans="1:9" x14ac:dyDescent="0.25">
      <c r="A1" s="10" t="s">
        <v>149</v>
      </c>
      <c r="B1" s="10" t="s">
        <v>150</v>
      </c>
      <c r="C1" s="10" t="s">
        <v>1</v>
      </c>
      <c r="D1" s="10" t="s">
        <v>151</v>
      </c>
      <c r="E1" s="10" t="s">
        <v>152</v>
      </c>
      <c r="F1" s="10" t="s">
        <v>153</v>
      </c>
      <c r="H1" s="11" t="s">
        <v>149</v>
      </c>
      <c r="I1" s="11" t="s">
        <v>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6B262F-CFF4-4413-9EDA-E768C164852A}">
  <sheetPr codeName="Sheet7"/>
  <dimension ref="B2:C52"/>
  <sheetViews>
    <sheetView zoomScale="90" zoomScaleNormal="90" workbookViewId="0">
      <selection activeCell="H2" sqref="H2"/>
    </sheetView>
  </sheetViews>
  <sheetFormatPr defaultRowHeight="15" x14ac:dyDescent="0.25"/>
  <cols>
    <col min="2" max="2" width="51.5703125" customWidth="1"/>
    <col min="3" max="3" width="11.5703125" customWidth="1"/>
  </cols>
  <sheetData>
    <row r="2" spans="2:3" x14ac:dyDescent="0.25">
      <c r="B2" s="1" t="s">
        <v>1</v>
      </c>
      <c r="C2" s="5" t="s">
        <v>62</v>
      </c>
    </row>
    <row r="3" spans="2:3" x14ac:dyDescent="0.25">
      <c r="B3" s="1" t="s">
        <v>2</v>
      </c>
      <c r="C3" s="5" t="s">
        <v>137</v>
      </c>
    </row>
    <row r="4" spans="2:3" x14ac:dyDescent="0.25">
      <c r="B4" s="1" t="s">
        <v>3</v>
      </c>
      <c r="C4" s="5" t="s">
        <v>99</v>
      </c>
    </row>
    <row r="5" spans="2:3" x14ac:dyDescent="0.25">
      <c r="B5" s="1" t="s">
        <v>4</v>
      </c>
      <c r="C5" s="5" t="s">
        <v>100</v>
      </c>
    </row>
    <row r="6" spans="2:3" x14ac:dyDescent="0.25">
      <c r="B6" s="1" t="s">
        <v>5</v>
      </c>
      <c r="C6" s="5" t="s">
        <v>101</v>
      </c>
    </row>
    <row r="7" spans="2:3" x14ac:dyDescent="0.25">
      <c r="B7" s="1" t="s">
        <v>8</v>
      </c>
      <c r="C7" s="5" t="s">
        <v>102</v>
      </c>
    </row>
    <row r="8" spans="2:3" x14ac:dyDescent="0.25">
      <c r="B8" s="1" t="s">
        <v>7</v>
      </c>
      <c r="C8" s="5" t="s">
        <v>103</v>
      </c>
    </row>
    <row r="9" spans="2:3" x14ac:dyDescent="0.25">
      <c r="B9" s="1" t="s">
        <v>11</v>
      </c>
      <c r="C9" s="5" t="s">
        <v>104</v>
      </c>
    </row>
    <row r="10" spans="2:3" x14ac:dyDescent="0.25">
      <c r="B10" s="1" t="s">
        <v>12</v>
      </c>
      <c r="C10" s="5" t="s">
        <v>105</v>
      </c>
    </row>
    <row r="11" spans="2:3" x14ac:dyDescent="0.25">
      <c r="B11" s="1" t="s">
        <v>13</v>
      </c>
      <c r="C11" s="5" t="s">
        <v>106</v>
      </c>
    </row>
    <row r="12" spans="2:3" x14ac:dyDescent="0.25">
      <c r="B12" s="1" t="s">
        <v>14</v>
      </c>
      <c r="C12" s="5" t="s">
        <v>107</v>
      </c>
    </row>
    <row r="13" spans="2:3" x14ac:dyDescent="0.25">
      <c r="B13" s="1" t="s">
        <v>15</v>
      </c>
      <c r="C13" s="5" t="s">
        <v>97</v>
      </c>
    </row>
    <row r="14" spans="2:3" x14ac:dyDescent="0.25">
      <c r="B14" s="1" t="s">
        <v>6</v>
      </c>
      <c r="C14" s="5" t="s">
        <v>112</v>
      </c>
    </row>
    <row r="15" spans="2:3" x14ac:dyDescent="0.25">
      <c r="B15" s="1" t="s">
        <v>16</v>
      </c>
      <c r="C15" s="5" t="s">
        <v>108</v>
      </c>
    </row>
    <row r="16" spans="2:3" x14ac:dyDescent="0.25">
      <c r="B16" s="1" t="s">
        <v>17</v>
      </c>
      <c r="C16" s="5" t="s">
        <v>109</v>
      </c>
    </row>
    <row r="17" spans="2:3" x14ac:dyDescent="0.25">
      <c r="B17" s="1" t="s">
        <v>10</v>
      </c>
      <c r="C17" s="5" t="s">
        <v>110</v>
      </c>
    </row>
    <row r="18" spans="2:3" x14ac:dyDescent="0.25">
      <c r="B18" s="1" t="s">
        <v>18</v>
      </c>
      <c r="C18" s="5" t="s">
        <v>113</v>
      </c>
    </row>
    <row r="19" spans="2:3" x14ac:dyDescent="0.25">
      <c r="B19" s="1" t="s">
        <v>19</v>
      </c>
      <c r="C19" s="5" t="s">
        <v>98</v>
      </c>
    </row>
    <row r="20" spans="2:3" x14ac:dyDescent="0.25">
      <c r="B20" s="1" t="s">
        <v>20</v>
      </c>
      <c r="C20" s="5" t="s">
        <v>114</v>
      </c>
    </row>
    <row r="21" spans="2:3" x14ac:dyDescent="0.25">
      <c r="B21" s="1" t="s">
        <v>9</v>
      </c>
      <c r="C21" s="5" t="s">
        <v>115</v>
      </c>
    </row>
    <row r="22" spans="2:3" x14ac:dyDescent="0.25">
      <c r="B22" s="1" t="s">
        <v>21</v>
      </c>
      <c r="C22" s="5" t="s">
        <v>111</v>
      </c>
    </row>
    <row r="23" spans="2:3" x14ac:dyDescent="0.25">
      <c r="B23" s="1" t="s">
        <v>22</v>
      </c>
      <c r="C23" s="5" t="s">
        <v>116</v>
      </c>
    </row>
    <row r="24" spans="2:3" x14ac:dyDescent="0.25">
      <c r="B24" s="1" t="s">
        <v>23</v>
      </c>
      <c r="C24" s="5" t="s">
        <v>118</v>
      </c>
    </row>
    <row r="25" spans="2:3" x14ac:dyDescent="0.25">
      <c r="B25" s="1" t="s">
        <v>24</v>
      </c>
      <c r="C25" s="5" t="s">
        <v>117</v>
      </c>
    </row>
    <row r="26" spans="2:3" x14ac:dyDescent="0.25">
      <c r="B26" s="1" t="s">
        <v>25</v>
      </c>
      <c r="C26" s="5" t="s">
        <v>119</v>
      </c>
    </row>
    <row r="27" spans="2:3" x14ac:dyDescent="0.25">
      <c r="B27" s="1" t="s">
        <v>26</v>
      </c>
      <c r="C27" s="5" t="s">
        <v>120</v>
      </c>
    </row>
    <row r="28" spans="2:3" x14ac:dyDescent="0.25">
      <c r="B28" s="1" t="s">
        <v>27</v>
      </c>
      <c r="C28" s="5" t="s">
        <v>122</v>
      </c>
    </row>
    <row r="29" spans="2:3" x14ac:dyDescent="0.25">
      <c r="B29" s="1" t="s">
        <v>28</v>
      </c>
      <c r="C29" s="5" t="s">
        <v>123</v>
      </c>
    </row>
    <row r="30" spans="2:3" x14ac:dyDescent="0.25">
      <c r="B30" s="1" t="s">
        <v>29</v>
      </c>
      <c r="C30" s="5" t="s">
        <v>124</v>
      </c>
    </row>
    <row r="31" spans="2:3" x14ac:dyDescent="0.25">
      <c r="B31" s="1" t="s">
        <v>30</v>
      </c>
      <c r="C31" s="5" t="s">
        <v>121</v>
      </c>
    </row>
    <row r="32" spans="2:3" x14ac:dyDescent="0.25">
      <c r="B32" s="1" t="s">
        <v>31</v>
      </c>
      <c r="C32" s="5" t="s">
        <v>125</v>
      </c>
    </row>
    <row r="33" spans="2:3" x14ac:dyDescent="0.25">
      <c r="B33" s="1" t="s">
        <v>33</v>
      </c>
      <c r="C33" s="5" t="s">
        <v>126</v>
      </c>
    </row>
    <row r="34" spans="2:3" x14ac:dyDescent="0.25">
      <c r="B34" s="1" t="s">
        <v>34</v>
      </c>
      <c r="C34" s="5" t="s">
        <v>127</v>
      </c>
    </row>
    <row r="35" spans="2:3" x14ac:dyDescent="0.25">
      <c r="B35" s="1" t="s">
        <v>35</v>
      </c>
      <c r="C35" s="5" t="s">
        <v>128</v>
      </c>
    </row>
    <row r="36" spans="2:3" x14ac:dyDescent="0.25">
      <c r="B36" s="1" t="s">
        <v>36</v>
      </c>
      <c r="C36" s="5" t="s">
        <v>129</v>
      </c>
    </row>
    <row r="37" spans="2:3" x14ac:dyDescent="0.25">
      <c r="B37" s="1" t="s">
        <v>37</v>
      </c>
      <c r="C37" s="5" t="s">
        <v>130</v>
      </c>
    </row>
    <row r="38" spans="2:3" x14ac:dyDescent="0.25">
      <c r="B38" s="1" t="s">
        <v>38</v>
      </c>
      <c r="C38" s="5" t="s">
        <v>131</v>
      </c>
    </row>
    <row r="39" spans="2:3" x14ac:dyDescent="0.25">
      <c r="B39" s="1" t="s">
        <v>39</v>
      </c>
      <c r="C39" s="5" t="s">
        <v>132</v>
      </c>
    </row>
    <row r="40" spans="2:3" x14ac:dyDescent="0.25">
      <c r="B40" s="1" t="s">
        <v>40</v>
      </c>
      <c r="C40" s="5" t="s">
        <v>133</v>
      </c>
    </row>
    <row r="41" spans="2:3" x14ac:dyDescent="0.25">
      <c r="B41" s="1" t="s">
        <v>41</v>
      </c>
      <c r="C41" s="5" t="s">
        <v>134</v>
      </c>
    </row>
    <row r="42" spans="2:3" x14ac:dyDescent="0.25">
      <c r="B42" s="1" t="s">
        <v>42</v>
      </c>
      <c r="C42" s="5" t="s">
        <v>135</v>
      </c>
    </row>
    <row r="43" spans="2:3" x14ac:dyDescent="0.25">
      <c r="B43" s="1" t="s">
        <v>43</v>
      </c>
      <c r="C43" s="5" t="s">
        <v>136</v>
      </c>
    </row>
    <row r="44" spans="2:3" x14ac:dyDescent="0.25">
      <c r="B44" s="1" t="s">
        <v>44</v>
      </c>
      <c r="C44" s="5" t="s">
        <v>138</v>
      </c>
    </row>
    <row r="45" spans="2:3" x14ac:dyDescent="0.25">
      <c r="B45" s="1" t="s">
        <v>45</v>
      </c>
      <c r="C45" s="5" t="s">
        <v>139</v>
      </c>
    </row>
    <row r="46" spans="2:3" x14ac:dyDescent="0.25">
      <c r="B46" s="1" t="s">
        <v>46</v>
      </c>
      <c r="C46" s="5" t="s">
        <v>140</v>
      </c>
    </row>
    <row r="47" spans="2:3" x14ac:dyDescent="0.25">
      <c r="B47" s="1" t="s">
        <v>47</v>
      </c>
      <c r="C47" s="5" t="s">
        <v>141</v>
      </c>
    </row>
    <row r="48" spans="2:3" x14ac:dyDescent="0.25">
      <c r="B48" s="1" t="s">
        <v>48</v>
      </c>
      <c r="C48" s="5" t="s">
        <v>142</v>
      </c>
    </row>
    <row r="49" spans="2:3" x14ac:dyDescent="0.25">
      <c r="B49" s="1" t="s">
        <v>49</v>
      </c>
      <c r="C49" s="5" t="s">
        <v>143</v>
      </c>
    </row>
    <row r="50" spans="2:3" x14ac:dyDescent="0.25">
      <c r="B50" s="1" t="s">
        <v>50</v>
      </c>
      <c r="C50" s="5" t="s">
        <v>144</v>
      </c>
    </row>
    <row r="51" spans="2:3" x14ac:dyDescent="0.25">
      <c r="B51" s="1" t="s">
        <v>51</v>
      </c>
      <c r="C51" s="5" t="s">
        <v>145</v>
      </c>
    </row>
    <row r="52" spans="2:3" x14ac:dyDescent="0.25">
      <c r="B52" s="1" t="s">
        <v>52</v>
      </c>
      <c r="C52" s="5" t="s">
        <v>146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8DDEEF-A9C2-4323-8C42-6C5D46525D29}">
  <sheetPr codeName="Sheet8"/>
  <dimension ref="A1:AM56"/>
  <sheetViews>
    <sheetView topLeftCell="R1" zoomScale="90" zoomScaleNormal="90" workbookViewId="0">
      <selection activeCell="AC12" sqref="AC12"/>
    </sheetView>
  </sheetViews>
  <sheetFormatPr defaultRowHeight="15" x14ac:dyDescent="0.25"/>
  <cols>
    <col min="2" max="2" width="16.5703125" customWidth="1"/>
    <col min="3" max="3" width="14.140625" customWidth="1"/>
    <col min="4" max="4" width="14.85546875" customWidth="1"/>
    <col min="5" max="5" width="13.7109375" customWidth="1"/>
    <col min="6" max="6" width="33.5703125" customWidth="1"/>
    <col min="7" max="7" width="21.85546875" customWidth="1"/>
    <col min="8" max="8" width="17.140625" customWidth="1"/>
    <col min="9" max="9" width="12" customWidth="1"/>
    <col min="10" max="10" width="12.5703125" customWidth="1"/>
    <col min="11" max="11" width="11.7109375" customWidth="1"/>
    <col min="12" max="12" width="11.42578125" customWidth="1"/>
    <col min="13" max="13" width="12.7109375" customWidth="1"/>
    <col min="14" max="14" width="11" customWidth="1"/>
    <col min="15" max="15" width="11.5703125" customWidth="1"/>
    <col min="16" max="16" width="11.85546875" customWidth="1"/>
    <col min="17" max="17" width="13.5703125" customWidth="1"/>
    <col min="21" max="21" width="6.42578125" style="70" customWidth="1"/>
    <col min="24" max="24" width="16.28515625" customWidth="1"/>
    <col min="25" max="25" width="23.5703125" customWidth="1"/>
    <col min="26" max="26" width="15.5703125" customWidth="1"/>
    <col min="27" max="27" width="11.85546875" customWidth="1"/>
    <col min="28" max="28" width="13" customWidth="1"/>
    <col min="29" max="29" width="18.140625" customWidth="1"/>
    <col min="30" max="30" width="15.42578125" customWidth="1"/>
    <col min="35" max="35" width="12.42578125" customWidth="1"/>
    <col min="36" max="36" width="14.42578125" customWidth="1"/>
    <col min="37" max="37" width="12.85546875" customWidth="1"/>
    <col min="38" max="38" width="12.5703125" customWidth="1"/>
    <col min="39" max="39" width="14.85546875" customWidth="1"/>
  </cols>
  <sheetData>
    <row r="1" spans="1:39" ht="1.5" customHeight="1" x14ac:dyDescent="0.25"/>
    <row r="2" spans="1:39" ht="73.5" customHeight="1" x14ac:dyDescent="0.25">
      <c r="X2" s="82" t="s">
        <v>170</v>
      </c>
      <c r="Y2" s="83" t="s">
        <v>2</v>
      </c>
    </row>
    <row r="3" spans="1:39" ht="30.75" hidden="1" customHeight="1" thickBot="1" x14ac:dyDescent="0.3"/>
    <row r="4" spans="1:39" ht="15.75" hidden="1" thickBot="1" x14ac:dyDescent="0.3"/>
    <row r="5" spans="1:39" ht="30" x14ac:dyDescent="0.25">
      <c r="G5" s="35"/>
      <c r="H5" s="35"/>
      <c r="I5" s="36" t="s">
        <v>92</v>
      </c>
      <c r="J5" s="36" t="s">
        <v>94</v>
      </c>
      <c r="K5" s="37" t="s">
        <v>93</v>
      </c>
      <c r="L5" s="37" t="s">
        <v>95</v>
      </c>
      <c r="M5" s="35"/>
      <c r="N5" s="35"/>
      <c r="O5" s="71"/>
      <c r="P5" s="35"/>
      <c r="Q5" s="35"/>
      <c r="R5" s="35"/>
      <c r="S5" s="35"/>
      <c r="T5" s="35"/>
      <c r="W5" s="73"/>
      <c r="X5" s="73"/>
      <c r="Y5" s="73"/>
      <c r="Z5" s="73"/>
      <c r="AA5" s="73"/>
      <c r="AB5" s="73"/>
      <c r="AC5" s="74"/>
      <c r="AD5" s="74"/>
      <c r="AE5" s="75" t="s">
        <v>92</v>
      </c>
      <c r="AF5" s="75" t="s">
        <v>94</v>
      </c>
      <c r="AG5" s="76" t="s">
        <v>93</v>
      </c>
      <c r="AH5" s="76" t="s">
        <v>95</v>
      </c>
      <c r="AI5" s="74"/>
      <c r="AJ5" s="74"/>
      <c r="AK5" s="74"/>
      <c r="AL5" s="74"/>
      <c r="AM5" s="74"/>
    </row>
    <row r="6" spans="1:39" x14ac:dyDescent="0.25">
      <c r="A6" s="1" t="s">
        <v>0</v>
      </c>
      <c r="B6" s="6" t="s">
        <v>61</v>
      </c>
      <c r="C6" s="9" t="s">
        <v>62</v>
      </c>
      <c r="D6" s="5" t="s">
        <v>91</v>
      </c>
      <c r="E6" s="6" t="s">
        <v>63</v>
      </c>
      <c r="F6" s="33" t="s">
        <v>64</v>
      </c>
      <c r="G6" s="38" t="s">
        <v>1</v>
      </c>
      <c r="H6" s="38" t="s">
        <v>53</v>
      </c>
      <c r="I6" s="39">
        <v>0.11</v>
      </c>
      <c r="J6" s="39">
        <v>0.3</v>
      </c>
      <c r="K6" s="35"/>
      <c r="L6" s="38" t="s">
        <v>96</v>
      </c>
      <c r="M6" s="38" t="s">
        <v>147</v>
      </c>
      <c r="N6" s="38" t="s">
        <v>148</v>
      </c>
      <c r="O6" s="72" t="s">
        <v>154</v>
      </c>
      <c r="P6" s="38" t="s">
        <v>175</v>
      </c>
      <c r="Q6" s="38" t="s">
        <v>176</v>
      </c>
      <c r="R6" s="38" t="s">
        <v>172</v>
      </c>
      <c r="S6" s="38" t="s">
        <v>173</v>
      </c>
      <c r="T6" s="38" t="s">
        <v>174</v>
      </c>
      <c r="W6" s="77" t="s">
        <v>0</v>
      </c>
      <c r="X6" s="78" t="s">
        <v>61</v>
      </c>
      <c r="Y6" s="79" t="s">
        <v>62</v>
      </c>
      <c r="Z6" s="74" t="s">
        <v>91</v>
      </c>
      <c r="AA6" s="78" t="s">
        <v>63</v>
      </c>
      <c r="AB6" s="80" t="s">
        <v>64</v>
      </c>
      <c r="AC6" s="77" t="s">
        <v>1</v>
      </c>
      <c r="AD6" s="77" t="s">
        <v>53</v>
      </c>
      <c r="AE6" s="81">
        <v>0.11</v>
      </c>
      <c r="AF6" s="81">
        <v>0.3</v>
      </c>
      <c r="AG6" s="74"/>
      <c r="AH6" s="77" t="s">
        <v>96</v>
      </c>
      <c r="AI6" s="77" t="s">
        <v>147</v>
      </c>
      <c r="AJ6" s="77" t="s">
        <v>148</v>
      </c>
      <c r="AK6" s="77" t="s">
        <v>154</v>
      </c>
      <c r="AL6" s="77" t="s">
        <v>175</v>
      </c>
      <c r="AM6" s="77" t="s">
        <v>176</v>
      </c>
    </row>
    <row r="7" spans="1:39" x14ac:dyDescent="0.25">
      <c r="A7" s="1">
        <v>1</v>
      </c>
      <c r="B7" s="5" t="str">
        <f>CONCATENATE(C7,"00",LEFT(E7,1),"-",D7)</f>
        <v>BR005-1</v>
      </c>
      <c r="C7" s="5" t="str">
        <f>VLOOKUP(G7,'KODE ITEM'!B3:C53,2,FALSE)</f>
        <v>BR</v>
      </c>
      <c r="D7" s="5">
        <f>IF(F7&lt;&gt;F6,1,D6+1)</f>
        <v>1</v>
      </c>
      <c r="E7" s="5" t="s">
        <v>54</v>
      </c>
      <c r="F7" s="33" t="s">
        <v>65</v>
      </c>
      <c r="G7" s="38" t="s">
        <v>2</v>
      </c>
      <c r="H7" s="40">
        <v>65000</v>
      </c>
      <c r="I7" s="41">
        <f>H7*I6</f>
        <v>7150</v>
      </c>
      <c r="J7" s="41">
        <f>H7*J6</f>
        <v>19500</v>
      </c>
      <c r="K7" s="41">
        <f t="shared" ref="K7:K56" si="0">H7+I7+J7</f>
        <v>91650</v>
      </c>
      <c r="L7" s="35">
        <v>20</v>
      </c>
      <c r="M7" s="42">
        <v>0</v>
      </c>
      <c r="N7" s="43">
        <f>SUMIF('DATABASE TRANSAKSI'!C:C,'BASED DATA'!G7,'DATABASE TRANSAKSI'!E:E)</f>
        <v>0</v>
      </c>
      <c r="O7" s="44">
        <f>L7+M7-N7</f>
        <v>20</v>
      </c>
      <c r="R7">
        <f>ROWS(($C$1:C1))</f>
        <v>1</v>
      </c>
      <c r="S7">
        <f t="shared" ref="S7:S38" si="1">IF(OR(CARI=B7,CARI=C7,CARI=D7,CARI=E7,CARI=F7,CARI=G7),R7,"")</f>
        <v>1</v>
      </c>
      <c r="T7">
        <f>SMALL($S$7:$S$16,$R$7:$R$16)</f>
        <v>1</v>
      </c>
      <c r="W7">
        <f>IFERROR(INDEX(DATA,$T7,COLUMNS($W$7:W7)),"")</f>
        <v>1</v>
      </c>
      <c r="X7" t="str">
        <f>IFERROR(INDEX(DATA,$T7,COLUMNS($W$7:X7)),"")</f>
        <v>BR005-1</v>
      </c>
      <c r="Y7" t="str">
        <f>IFERROR(INDEX(DATA,$T7,COLUMNS($W$7:Y7)),"")</f>
        <v>BR</v>
      </c>
      <c r="Z7">
        <f>IFERROR(INDEX(DATA,$T7,COLUMNS($W$7:Z7)),"")</f>
        <v>1</v>
      </c>
      <c r="AA7" t="str">
        <f>IFERROR(INDEX(DATA,$T7,COLUMNS($W$7:AA7)),"")</f>
        <v>5 KG</v>
      </c>
      <c r="AB7" t="str">
        <f>IFERROR(INDEX(DATA,$T7,COLUMNS($W$7:AB7)),"")</f>
        <v>MAKANAN</v>
      </c>
      <c r="AC7" t="str">
        <f>IFERROR(INDEX(DATA,$T7,COLUMNS($W$7:AC7)),"")</f>
        <v>BERAS</v>
      </c>
    </row>
    <row r="8" spans="1:39" x14ac:dyDescent="0.25">
      <c r="A8" s="1">
        <v>2</v>
      </c>
      <c r="B8" s="5" t="str">
        <f>CONCATENATE(C8,"00",LEFT(E8,1),"-",D8)</f>
        <v>GP001-2</v>
      </c>
      <c r="C8" s="5" t="str">
        <f>VLOOKUP(G8,'KODE ITEM'!B4:C54,2,FALSE)</f>
        <v>GP</v>
      </c>
      <c r="D8" s="5">
        <f t="shared" ref="D8:D56" si="2">IF(F8&lt;&gt;F7,1,D7+1)</f>
        <v>2</v>
      </c>
      <c r="E8" s="5" t="s">
        <v>55</v>
      </c>
      <c r="F8" s="34" t="s">
        <v>65</v>
      </c>
      <c r="G8" s="38" t="s">
        <v>3</v>
      </c>
      <c r="H8" s="45">
        <v>14000</v>
      </c>
      <c r="I8" s="46">
        <f>H8*I6</f>
        <v>1540</v>
      </c>
      <c r="J8" s="46">
        <f>H8*J6</f>
        <v>4200</v>
      </c>
      <c r="K8" s="46">
        <f t="shared" si="0"/>
        <v>19740</v>
      </c>
      <c r="L8" s="35">
        <v>40</v>
      </c>
      <c r="M8" s="42">
        <v>0</v>
      </c>
      <c r="N8" s="43">
        <f>SUMIF('DATABASE TRANSAKSI'!C:C,'BASED DATA'!G8,'DATABASE TRANSAKSI'!E:E)</f>
        <v>0</v>
      </c>
      <c r="O8" s="44">
        <f t="shared" ref="O8:O56" si="3">L8+M8-N8</f>
        <v>40</v>
      </c>
      <c r="R8">
        <f>ROWS(($C$1:C2))</f>
        <v>2</v>
      </c>
      <c r="S8" t="str">
        <f t="shared" si="1"/>
        <v/>
      </c>
      <c r="T8" t="e">
        <f t="shared" ref="T8:T16" si="4">SMALL($S$7:$S$16,$R$7:$R$16)</f>
        <v>#NUM!</v>
      </c>
    </row>
    <row r="9" spans="1:39" x14ac:dyDescent="0.25">
      <c r="A9" s="1">
        <v>3</v>
      </c>
      <c r="B9" s="5" t="str">
        <f>CONCATENATE(C9,"00",LEFT(E9,2),"-",D9)</f>
        <v>MG0030-3</v>
      </c>
      <c r="C9" s="5" t="str">
        <f>VLOOKUP(G9,'KODE ITEM'!B5:C55,2,FALSE)</f>
        <v>MG</v>
      </c>
      <c r="D9" s="5">
        <f t="shared" si="2"/>
        <v>3</v>
      </c>
      <c r="E9" s="5" t="s">
        <v>72</v>
      </c>
      <c r="F9" s="33" t="s">
        <v>65</v>
      </c>
      <c r="G9" s="38" t="s">
        <v>4</v>
      </c>
      <c r="H9" s="40">
        <v>16000</v>
      </c>
      <c r="I9" s="41">
        <f>H9*I6</f>
        <v>1760</v>
      </c>
      <c r="J9" s="41">
        <f>H9*J6</f>
        <v>4800</v>
      </c>
      <c r="K9" s="41">
        <f t="shared" si="0"/>
        <v>22560</v>
      </c>
      <c r="L9" s="35">
        <v>50</v>
      </c>
      <c r="M9" s="42">
        <v>0</v>
      </c>
      <c r="N9" s="43">
        <f>SUMIF('DATABASE TRANSAKSI'!C:C,'BASED DATA'!G9,'DATABASE TRANSAKSI'!E:E)</f>
        <v>0</v>
      </c>
      <c r="O9" s="44">
        <f t="shared" si="3"/>
        <v>50</v>
      </c>
      <c r="R9">
        <f>ROWS(($C$1:C3))</f>
        <v>3</v>
      </c>
      <c r="S9" t="str">
        <f t="shared" si="1"/>
        <v/>
      </c>
      <c r="T9" t="e">
        <f t="shared" si="4"/>
        <v>#NUM!</v>
      </c>
    </row>
    <row r="10" spans="1:39" x14ac:dyDescent="0.25">
      <c r="A10" s="1">
        <v>4</v>
      </c>
      <c r="B10" s="5" t="str">
        <f>CONCATENATE(C10,"00",LEFT(E10,2),"-",D10)</f>
        <v>TT0080-4</v>
      </c>
      <c r="C10" s="5" t="str">
        <f>VLOOKUP(G10,'KODE ITEM'!B6:C56,2,FALSE)</f>
        <v>TT</v>
      </c>
      <c r="D10" s="5">
        <f t="shared" si="2"/>
        <v>4</v>
      </c>
      <c r="E10" s="5" t="s">
        <v>73</v>
      </c>
      <c r="F10" s="33" t="s">
        <v>65</v>
      </c>
      <c r="G10" s="38" t="s">
        <v>5</v>
      </c>
      <c r="H10" s="40">
        <v>10000</v>
      </c>
      <c r="I10" s="41">
        <f>H10*I6</f>
        <v>1100</v>
      </c>
      <c r="J10" s="41">
        <f>H10*J6</f>
        <v>3000</v>
      </c>
      <c r="K10" s="41">
        <f t="shared" si="0"/>
        <v>14100</v>
      </c>
      <c r="L10" s="35">
        <v>40</v>
      </c>
      <c r="M10" s="42">
        <v>0</v>
      </c>
      <c r="N10" s="43">
        <f>SUMIF('DATABASE TRANSAKSI'!C:C,'BASED DATA'!G10,'DATABASE TRANSAKSI'!E:E)</f>
        <v>0</v>
      </c>
      <c r="O10" s="44">
        <f t="shared" si="3"/>
        <v>40</v>
      </c>
      <c r="R10">
        <f>ROWS(($C$1:C4))</f>
        <v>4</v>
      </c>
      <c r="S10" t="str">
        <f t="shared" si="1"/>
        <v/>
      </c>
      <c r="T10" t="e">
        <f t="shared" si="4"/>
        <v>#NUM!</v>
      </c>
    </row>
    <row r="11" spans="1:39" x14ac:dyDescent="0.25">
      <c r="A11" s="1">
        <v>5</v>
      </c>
      <c r="B11" s="5" t="str">
        <f>CONCATENATE(C11,"00",LEFT(E11,2),"-",D11)</f>
        <v>TA0050-5</v>
      </c>
      <c r="C11" s="5" t="str">
        <f>VLOOKUP(G11,'KODE ITEM'!B2:C52,2,FALSE)</f>
        <v>TA</v>
      </c>
      <c r="D11" s="5">
        <f t="shared" si="2"/>
        <v>5</v>
      </c>
      <c r="E11" s="5" t="s">
        <v>71</v>
      </c>
      <c r="F11" s="33" t="s">
        <v>65</v>
      </c>
      <c r="G11" s="38" t="s">
        <v>8</v>
      </c>
      <c r="H11" s="40">
        <v>2000</v>
      </c>
      <c r="I11" s="41">
        <f>H11*I6</f>
        <v>220</v>
      </c>
      <c r="J11" s="41">
        <f>H11*J6</f>
        <v>600</v>
      </c>
      <c r="K11" s="41">
        <f t="shared" si="0"/>
        <v>2820</v>
      </c>
      <c r="L11" s="35">
        <v>300</v>
      </c>
      <c r="M11" s="42">
        <v>0</v>
      </c>
      <c r="N11" s="43">
        <f>SUMIF('DATABASE TRANSAKSI'!C:C,'BASED DATA'!G11,'DATABASE TRANSAKSI'!E:E)</f>
        <v>0</v>
      </c>
      <c r="O11" s="44">
        <f t="shared" si="3"/>
        <v>300</v>
      </c>
      <c r="R11">
        <f>ROWS(($C$1:C5))</f>
        <v>5</v>
      </c>
      <c r="S11" t="str">
        <f t="shared" si="1"/>
        <v/>
      </c>
      <c r="T11" t="e">
        <f t="shared" si="4"/>
        <v>#NUM!</v>
      </c>
    </row>
    <row r="12" spans="1:39" x14ac:dyDescent="0.25">
      <c r="A12" s="1">
        <v>6</v>
      </c>
      <c r="B12" s="5" t="str">
        <f>CONCATENATE(C12,"00",LEFT(E12,2),"-",D12)</f>
        <v>MI0080-6</v>
      </c>
      <c r="C12" s="5" t="str">
        <f>VLOOKUP(G12,'KODE ITEM'!B2:C53,2,FALSE)</f>
        <v>MI</v>
      </c>
      <c r="D12" s="5">
        <f t="shared" si="2"/>
        <v>6</v>
      </c>
      <c r="E12" s="5" t="s">
        <v>73</v>
      </c>
      <c r="F12" s="33" t="s">
        <v>65</v>
      </c>
      <c r="G12" s="38" t="s">
        <v>7</v>
      </c>
      <c r="H12" s="40">
        <v>3500</v>
      </c>
      <c r="I12" s="41">
        <f>H12*I6</f>
        <v>385</v>
      </c>
      <c r="J12" s="41">
        <f>H12*J6</f>
        <v>1050</v>
      </c>
      <c r="K12" s="41">
        <f t="shared" si="0"/>
        <v>4935</v>
      </c>
      <c r="L12" s="35">
        <v>120</v>
      </c>
      <c r="M12" s="42">
        <v>0</v>
      </c>
      <c r="N12" s="43">
        <f>SUMIF('DATABASE TRANSAKSI'!C:C,'BASED DATA'!G12,'DATABASE TRANSAKSI'!E:E)</f>
        <v>0</v>
      </c>
      <c r="O12" s="44">
        <f t="shared" si="3"/>
        <v>120</v>
      </c>
      <c r="R12">
        <f>ROWS(($C$1:C6))</f>
        <v>6</v>
      </c>
      <c r="S12" t="str">
        <f t="shared" si="1"/>
        <v/>
      </c>
      <c r="T12" t="e">
        <f t="shared" si="4"/>
        <v>#NUM!</v>
      </c>
    </row>
    <row r="13" spans="1:39" x14ac:dyDescent="0.25">
      <c r="A13" s="1">
        <v>7</v>
      </c>
      <c r="B13" s="5" t="str">
        <f>CONCATENATE(C13,"00",LEFT(E13,3),"-",D13)</f>
        <v>RT00400-7</v>
      </c>
      <c r="C13" s="5" t="str">
        <f>VLOOKUP(G13,'KODE ITEM'!B2:C53,2,FALSE)</f>
        <v>RT</v>
      </c>
      <c r="D13" s="5">
        <f t="shared" si="2"/>
        <v>7</v>
      </c>
      <c r="E13" s="5" t="s">
        <v>75</v>
      </c>
      <c r="F13" s="33" t="s">
        <v>65</v>
      </c>
      <c r="G13" s="38" t="s">
        <v>11</v>
      </c>
      <c r="H13" s="40">
        <v>15000</v>
      </c>
      <c r="I13" s="41">
        <f>H13*I6</f>
        <v>1650</v>
      </c>
      <c r="J13" s="41">
        <f>H13*J6</f>
        <v>4500</v>
      </c>
      <c r="K13" s="41">
        <f t="shared" si="0"/>
        <v>21150</v>
      </c>
      <c r="L13" s="35">
        <v>20</v>
      </c>
      <c r="M13" s="42">
        <v>0</v>
      </c>
      <c r="N13" s="43">
        <f>SUMIF('DATABASE TRANSAKSI'!C:C,'BASED DATA'!G13,'DATABASE TRANSAKSI'!E:E)</f>
        <v>0</v>
      </c>
      <c r="O13" s="44">
        <f t="shared" si="3"/>
        <v>20</v>
      </c>
      <c r="R13">
        <f>ROWS(($C$1:C7))</f>
        <v>7</v>
      </c>
      <c r="S13" t="str">
        <f t="shared" si="1"/>
        <v/>
      </c>
      <c r="T13" t="e">
        <f t="shared" si="4"/>
        <v>#NUM!</v>
      </c>
    </row>
    <row r="14" spans="1:39" x14ac:dyDescent="0.25">
      <c r="A14" s="1">
        <v>8</v>
      </c>
      <c r="B14" s="5" t="str">
        <f>CONCATENATE(C14,"00",LEFT(E14,3),"-",D14)</f>
        <v>SC00200-1</v>
      </c>
      <c r="C14" s="5" t="str">
        <f>VLOOKUP(G14,'KODE ITEM'!B2:C52,2,FALSE)</f>
        <v>SC</v>
      </c>
      <c r="D14" s="5">
        <f t="shared" si="2"/>
        <v>1</v>
      </c>
      <c r="E14" s="5" t="s">
        <v>76</v>
      </c>
      <c r="F14" s="33" t="s">
        <v>66</v>
      </c>
      <c r="G14" s="38" t="s">
        <v>12</v>
      </c>
      <c r="H14" s="40">
        <v>5000</v>
      </c>
      <c r="I14" s="41">
        <f>H14*I6</f>
        <v>550</v>
      </c>
      <c r="J14" s="41">
        <f>H14*J6</f>
        <v>1500</v>
      </c>
      <c r="K14" s="41">
        <f t="shared" si="0"/>
        <v>7050</v>
      </c>
      <c r="L14" s="35">
        <v>240</v>
      </c>
      <c r="M14" s="42">
        <v>0</v>
      </c>
      <c r="N14" s="43">
        <f>SUMIF('DATABASE TRANSAKSI'!C:C,'BASED DATA'!G14,'DATABASE TRANSAKSI'!E:E)</f>
        <v>0</v>
      </c>
      <c r="O14" s="44">
        <f t="shared" si="3"/>
        <v>240</v>
      </c>
      <c r="R14">
        <f>ROWS(($C$1:C8))</f>
        <v>8</v>
      </c>
      <c r="S14" t="str">
        <f t="shared" si="1"/>
        <v/>
      </c>
      <c r="T14" t="e">
        <f t="shared" si="4"/>
        <v>#NUM!</v>
      </c>
    </row>
    <row r="15" spans="1:39" x14ac:dyDescent="0.25">
      <c r="A15" s="1">
        <v>9</v>
      </c>
      <c r="B15" s="5" t="str">
        <f>CONCATENATE(C15,"00",LEFT(E15,2),"-",D15)</f>
        <v>KB0010-1</v>
      </c>
      <c r="C15" s="5" t="str">
        <f>VLOOKUP(G15,'KODE ITEM'!B2:C52,2,FALSE)</f>
        <v>KB</v>
      </c>
      <c r="D15" s="5">
        <f t="shared" si="2"/>
        <v>1</v>
      </c>
      <c r="E15" s="5" t="s">
        <v>77</v>
      </c>
      <c r="F15" s="33" t="s">
        <v>65</v>
      </c>
      <c r="G15" s="38" t="s">
        <v>13</v>
      </c>
      <c r="H15" s="40">
        <v>3000</v>
      </c>
      <c r="I15" s="41">
        <f>H15*I6</f>
        <v>330</v>
      </c>
      <c r="J15" s="41">
        <f>H15*J6</f>
        <v>900</v>
      </c>
      <c r="K15" s="41">
        <f t="shared" si="0"/>
        <v>4230</v>
      </c>
      <c r="L15" s="35">
        <v>60</v>
      </c>
      <c r="M15" s="42">
        <v>0</v>
      </c>
      <c r="N15" s="43">
        <f>SUMIF('DATABASE TRANSAKSI'!C:C,'BASED DATA'!G15,'DATABASE TRANSAKSI'!E:E)</f>
        <v>0</v>
      </c>
      <c r="O15" s="44">
        <f t="shared" si="3"/>
        <v>60</v>
      </c>
      <c r="R15">
        <f>ROWS(($C$1:C9))</f>
        <v>9</v>
      </c>
      <c r="S15" t="str">
        <f t="shared" si="1"/>
        <v/>
      </c>
      <c r="T15" t="e">
        <f t="shared" si="4"/>
        <v>#NUM!</v>
      </c>
    </row>
    <row r="16" spans="1:39" x14ac:dyDescent="0.25">
      <c r="A16" s="1">
        <v>10</v>
      </c>
      <c r="B16" s="5" t="str">
        <f>CONCATENATE(C16,"00",LEFT(E16,2),"-",D16)</f>
        <v>TC0020-1</v>
      </c>
      <c r="C16" s="5" t="str">
        <f>VLOOKUP(G16,'KODE ITEM'!B2:C52,2,FALSE)</f>
        <v>TC</v>
      </c>
      <c r="D16" s="5">
        <f t="shared" si="2"/>
        <v>1</v>
      </c>
      <c r="E16" s="5" t="s">
        <v>78</v>
      </c>
      <c r="F16" s="33" t="s">
        <v>66</v>
      </c>
      <c r="G16" s="38" t="s">
        <v>14</v>
      </c>
      <c r="H16" s="40">
        <v>6000</v>
      </c>
      <c r="I16" s="41">
        <f>H16*I6</f>
        <v>660</v>
      </c>
      <c r="J16" s="41">
        <f>H16*J6</f>
        <v>1800</v>
      </c>
      <c r="K16" s="41">
        <f t="shared" si="0"/>
        <v>8460</v>
      </c>
      <c r="L16" s="35">
        <v>50</v>
      </c>
      <c r="M16" s="42">
        <v>0</v>
      </c>
      <c r="N16" s="43">
        <f>SUMIF('DATABASE TRANSAKSI'!C:C,'BASED DATA'!G16,'DATABASE TRANSAKSI'!E:E)</f>
        <v>0</v>
      </c>
      <c r="O16" s="44">
        <f t="shared" si="3"/>
        <v>50</v>
      </c>
      <c r="R16">
        <f>ROWS(($C$1:C10))</f>
        <v>10</v>
      </c>
      <c r="S16" t="str">
        <f t="shared" si="1"/>
        <v/>
      </c>
      <c r="T16" t="e">
        <f t="shared" si="4"/>
        <v>#NUM!</v>
      </c>
    </row>
    <row r="17" spans="1:19" x14ac:dyDescent="0.25">
      <c r="A17" s="1">
        <v>11</v>
      </c>
      <c r="B17" s="5" t="str">
        <f>CONCATENATE(C17,"00",LEFT(E17,1),"-",D17)</f>
        <v>GM001-1</v>
      </c>
      <c r="C17" s="5" t="str">
        <f>VLOOKUP(G17,'KODE ITEM'!B2:C52,2,FALSE)</f>
        <v>GM</v>
      </c>
      <c r="D17" s="5">
        <f t="shared" si="2"/>
        <v>1</v>
      </c>
      <c r="E17" s="5" t="s">
        <v>55</v>
      </c>
      <c r="F17" s="33" t="s">
        <v>65</v>
      </c>
      <c r="G17" s="38" t="s">
        <v>15</v>
      </c>
      <c r="H17" s="40">
        <v>5000</v>
      </c>
      <c r="I17" s="41">
        <f>H17*I6</f>
        <v>550</v>
      </c>
      <c r="J17" s="41">
        <f>H17*J6</f>
        <v>1500</v>
      </c>
      <c r="K17" s="41">
        <f t="shared" si="0"/>
        <v>7050</v>
      </c>
      <c r="L17" s="35">
        <v>20</v>
      </c>
      <c r="M17" s="42">
        <v>0</v>
      </c>
      <c r="N17" s="43">
        <f>SUMIF('DATABASE TRANSAKSI'!C:C,'BASED DATA'!G17,'DATABASE TRANSAKSI'!E:E)</f>
        <v>0</v>
      </c>
      <c r="O17" s="44">
        <f t="shared" si="3"/>
        <v>20</v>
      </c>
      <c r="R17">
        <f>ROWS(($C$1:C11))</f>
        <v>11</v>
      </c>
      <c r="S17" t="str">
        <f t="shared" si="1"/>
        <v/>
      </c>
    </row>
    <row r="18" spans="1:19" x14ac:dyDescent="0.25">
      <c r="A18" s="1">
        <v>12</v>
      </c>
      <c r="B18" s="5" t="str">
        <f>CONCATENATE(C18,"00",LEFT(E18,3),"-",D18)</f>
        <v>GA00500-2</v>
      </c>
      <c r="C18" s="5" t="str">
        <f>VLOOKUP(G18,'KODE ITEM'!B2:C52,2,FALSE)</f>
        <v>GA</v>
      </c>
      <c r="D18" s="5">
        <f t="shared" si="2"/>
        <v>2</v>
      </c>
      <c r="E18" s="5" t="s">
        <v>79</v>
      </c>
      <c r="F18" s="33" t="s">
        <v>65</v>
      </c>
      <c r="G18" s="38" t="s">
        <v>6</v>
      </c>
      <c r="H18" s="40">
        <v>3000</v>
      </c>
      <c r="I18" s="41">
        <f>H18*I6</f>
        <v>330</v>
      </c>
      <c r="J18" s="41">
        <f>H18*J6</f>
        <v>900</v>
      </c>
      <c r="K18" s="41">
        <f t="shared" si="0"/>
        <v>4230</v>
      </c>
      <c r="L18" s="35">
        <v>50</v>
      </c>
      <c r="M18" s="42">
        <v>0</v>
      </c>
      <c r="N18" s="43">
        <f>SUMIF('DATABASE TRANSAKSI'!C:C,'BASED DATA'!G18,'DATABASE TRANSAKSI'!E:E)</f>
        <v>0</v>
      </c>
      <c r="O18" s="44">
        <f t="shared" si="3"/>
        <v>50</v>
      </c>
      <c r="R18">
        <f>ROWS(($C$1:C12))</f>
        <v>12</v>
      </c>
      <c r="S18" t="str">
        <f t="shared" si="1"/>
        <v/>
      </c>
    </row>
    <row r="19" spans="1:19" x14ac:dyDescent="0.25">
      <c r="A19" s="1">
        <v>13</v>
      </c>
      <c r="B19" s="5" t="str">
        <f>CONCATENATE(C19,"00",LEFT(E19,3),"-",D19)</f>
        <v>KM00500-3</v>
      </c>
      <c r="C19" s="5" t="str">
        <f>VLOOKUP(G19,'KODE ITEM'!B2:C52,2,FALSE)</f>
        <v>KM</v>
      </c>
      <c r="D19" s="5">
        <f t="shared" si="2"/>
        <v>3</v>
      </c>
      <c r="E19" s="5" t="s">
        <v>80</v>
      </c>
      <c r="F19" s="33" t="s">
        <v>65</v>
      </c>
      <c r="G19" s="38" t="s">
        <v>16</v>
      </c>
      <c r="H19" s="40">
        <v>10000</v>
      </c>
      <c r="I19" s="41">
        <f>H19*I6</f>
        <v>1100</v>
      </c>
      <c r="J19" s="41">
        <f>H19*J6</f>
        <v>3000</v>
      </c>
      <c r="K19" s="41">
        <f t="shared" si="0"/>
        <v>14100</v>
      </c>
      <c r="L19" s="35">
        <v>60</v>
      </c>
      <c r="M19" s="42">
        <v>0</v>
      </c>
      <c r="N19" s="43">
        <f>SUMIF('DATABASE TRANSAKSI'!C:C,'BASED DATA'!G19,'DATABASE TRANSAKSI'!E:E)</f>
        <v>0</v>
      </c>
      <c r="O19" s="44">
        <f t="shared" si="3"/>
        <v>60</v>
      </c>
      <c r="R19">
        <f>ROWS(($C$1:C13))</f>
        <v>13</v>
      </c>
      <c r="S19" t="str">
        <f t="shared" si="1"/>
        <v/>
      </c>
    </row>
    <row r="20" spans="1:19" x14ac:dyDescent="0.25">
      <c r="A20" s="1">
        <v>14</v>
      </c>
      <c r="B20" s="5" t="str">
        <f>CONCATENATE(C20,"00",LEFT(E20,3),"-",D20)</f>
        <v>SS00300-4</v>
      </c>
      <c r="C20" s="5" t="str">
        <f>VLOOKUP(G20,'KODE ITEM'!B2:C52,2,FALSE)</f>
        <v>SS</v>
      </c>
      <c r="D20" s="5">
        <f t="shared" si="2"/>
        <v>4</v>
      </c>
      <c r="E20" s="5" t="s">
        <v>81</v>
      </c>
      <c r="F20" s="33" t="s">
        <v>65</v>
      </c>
      <c r="G20" s="38" t="s">
        <v>17</v>
      </c>
      <c r="H20" s="40">
        <v>8000</v>
      </c>
      <c r="I20" s="41">
        <f>H20*I6</f>
        <v>880</v>
      </c>
      <c r="J20" s="41">
        <f>H20*J6</f>
        <v>2400</v>
      </c>
      <c r="K20" s="41">
        <f t="shared" si="0"/>
        <v>11280</v>
      </c>
      <c r="L20" s="35">
        <v>60</v>
      </c>
      <c r="M20" s="42">
        <v>0</v>
      </c>
      <c r="N20" s="43">
        <f>SUMIF('DATABASE TRANSAKSI'!C:C,'BASED DATA'!G20,'DATABASE TRANSAKSI'!E:E)</f>
        <v>0</v>
      </c>
      <c r="O20" s="44">
        <f t="shared" si="3"/>
        <v>60</v>
      </c>
      <c r="R20">
        <f>ROWS(($C$1:C14))</f>
        <v>14</v>
      </c>
      <c r="S20" t="str">
        <f t="shared" si="1"/>
        <v/>
      </c>
    </row>
    <row r="21" spans="1:19" x14ac:dyDescent="0.25">
      <c r="A21" s="1">
        <v>15</v>
      </c>
      <c r="B21" s="5" t="str">
        <f>CONCATENATE(C21,"00",LEFT(E21,2),"-",D21)</f>
        <v>BM0020-5</v>
      </c>
      <c r="C21" s="5" t="str">
        <f>VLOOKUP(G21,'KODE ITEM'!B2:C52,2,FALSE)</f>
        <v>BM</v>
      </c>
      <c r="D21" s="5">
        <f t="shared" si="2"/>
        <v>5</v>
      </c>
      <c r="E21" s="5" t="s">
        <v>82</v>
      </c>
      <c r="F21" s="33" t="s">
        <v>65</v>
      </c>
      <c r="G21" s="38" t="s">
        <v>10</v>
      </c>
      <c r="H21" s="40">
        <v>3000</v>
      </c>
      <c r="I21" s="41">
        <f>H21*I6</f>
        <v>330</v>
      </c>
      <c r="J21" s="41">
        <f>H21*J6</f>
        <v>900</v>
      </c>
      <c r="K21" s="41">
        <f t="shared" si="0"/>
        <v>4230</v>
      </c>
      <c r="L21" s="35">
        <v>60</v>
      </c>
      <c r="M21" s="42">
        <v>0</v>
      </c>
      <c r="N21" s="43">
        <f>SUMIF('DATABASE TRANSAKSI'!C:C,'BASED DATA'!G21,'DATABASE TRANSAKSI'!E:E)</f>
        <v>0</v>
      </c>
      <c r="O21" s="44">
        <f t="shared" si="3"/>
        <v>60</v>
      </c>
      <c r="Q21" t="s">
        <v>171</v>
      </c>
      <c r="R21">
        <f>ROWS(($C$1:C15))</f>
        <v>15</v>
      </c>
      <c r="S21" t="str">
        <f t="shared" si="1"/>
        <v/>
      </c>
    </row>
    <row r="22" spans="1:19" x14ac:dyDescent="0.25">
      <c r="A22" s="1">
        <v>16</v>
      </c>
      <c r="B22" s="5" t="str">
        <f>CONCATENATE(C22,"00",LEFT(E22,3),"-",D22)</f>
        <v>KK00100-6</v>
      </c>
      <c r="C22" s="5" t="str">
        <f>VLOOKUP(G22,'KODE ITEM'!B3:C53,2,FALSE)</f>
        <v>KK</v>
      </c>
      <c r="D22" s="5">
        <f t="shared" si="2"/>
        <v>6</v>
      </c>
      <c r="E22" s="5" t="s">
        <v>74</v>
      </c>
      <c r="F22" s="33" t="s">
        <v>65</v>
      </c>
      <c r="G22" s="38" t="s">
        <v>18</v>
      </c>
      <c r="H22" s="40">
        <v>5000</v>
      </c>
      <c r="I22" s="41">
        <f>H22*I6</f>
        <v>550</v>
      </c>
      <c r="J22" s="41">
        <f>H22*J6</f>
        <v>1500</v>
      </c>
      <c r="K22" s="41">
        <f t="shared" si="0"/>
        <v>7050</v>
      </c>
      <c r="L22" s="35">
        <v>20</v>
      </c>
      <c r="M22" s="42">
        <v>0</v>
      </c>
      <c r="N22" s="43">
        <f>SUMIF('DATABASE TRANSAKSI'!C:C,'BASED DATA'!G22,'DATABASE TRANSAKSI'!E:E)</f>
        <v>0</v>
      </c>
      <c r="O22" s="44">
        <f t="shared" si="3"/>
        <v>20</v>
      </c>
      <c r="R22">
        <f>ROWS(($C$1:C16))</f>
        <v>16</v>
      </c>
      <c r="S22" t="str">
        <f t="shared" si="1"/>
        <v/>
      </c>
    </row>
    <row r="23" spans="1:19" x14ac:dyDescent="0.25">
      <c r="A23" s="1">
        <v>17</v>
      </c>
      <c r="B23" s="5" t="str">
        <f>CONCATENATE(C23,"00",LEFT(E23,2),"-",D23)</f>
        <v>SK0050-7</v>
      </c>
      <c r="C23" s="5" t="str">
        <f>VLOOKUP(G23,'KODE ITEM'!B4:C54,2,FALSE)</f>
        <v>SK</v>
      </c>
      <c r="D23" s="5">
        <f t="shared" si="2"/>
        <v>7</v>
      </c>
      <c r="E23" s="5" t="s">
        <v>71</v>
      </c>
      <c r="F23" s="33" t="s">
        <v>65</v>
      </c>
      <c r="G23" s="38" t="s">
        <v>19</v>
      </c>
      <c r="H23" s="40">
        <v>5000</v>
      </c>
      <c r="I23" s="41">
        <f>H23*I6</f>
        <v>550</v>
      </c>
      <c r="J23" s="41">
        <f>H23*J6</f>
        <v>1500</v>
      </c>
      <c r="K23" s="41">
        <f t="shared" si="0"/>
        <v>7050</v>
      </c>
      <c r="L23" s="35">
        <v>80</v>
      </c>
      <c r="M23" s="42">
        <v>0</v>
      </c>
      <c r="N23" s="43">
        <f>SUMIF('DATABASE TRANSAKSI'!C:C,'BASED DATA'!G23,'DATABASE TRANSAKSI'!E:E)</f>
        <v>0</v>
      </c>
      <c r="O23" s="44">
        <f t="shared" si="3"/>
        <v>80</v>
      </c>
      <c r="R23">
        <f>ROWS(($C$1:C17))</f>
        <v>17</v>
      </c>
      <c r="S23" t="str">
        <f t="shared" si="1"/>
        <v/>
      </c>
    </row>
    <row r="24" spans="1:19" x14ac:dyDescent="0.25">
      <c r="A24" s="1">
        <v>18</v>
      </c>
      <c r="B24" s="5" t="str">
        <f>CONCATENATE(C24,"00",LEFT(E24,1),"-",D24)</f>
        <v>PN005-8</v>
      </c>
      <c r="C24" s="5" t="str">
        <f>VLOOKUP(G24,'KODE ITEM'!B5:C55,2,FALSE)</f>
        <v>PN</v>
      </c>
      <c r="D24" s="5">
        <f t="shared" si="2"/>
        <v>8</v>
      </c>
      <c r="E24" s="5" t="s">
        <v>83</v>
      </c>
      <c r="F24" s="33" t="s">
        <v>65</v>
      </c>
      <c r="G24" s="38" t="s">
        <v>20</v>
      </c>
      <c r="H24" s="40">
        <v>2000</v>
      </c>
      <c r="I24" s="41">
        <f>H24*I6</f>
        <v>220</v>
      </c>
      <c r="J24" s="41">
        <f>H24*J6</f>
        <v>600</v>
      </c>
      <c r="K24" s="41">
        <f t="shared" si="0"/>
        <v>2820</v>
      </c>
      <c r="L24" s="35">
        <v>400</v>
      </c>
      <c r="M24" s="42">
        <v>0</v>
      </c>
      <c r="N24" s="43">
        <f>SUMIF('DATABASE TRANSAKSI'!C:C,'BASED DATA'!G24,'DATABASE TRANSAKSI'!E:E)</f>
        <v>0</v>
      </c>
      <c r="O24" s="44">
        <f t="shared" si="3"/>
        <v>400</v>
      </c>
      <c r="R24">
        <f>ROWS(($C$1:C18))</f>
        <v>18</v>
      </c>
      <c r="S24" t="str">
        <f t="shared" si="1"/>
        <v/>
      </c>
    </row>
    <row r="25" spans="1:19" x14ac:dyDescent="0.25">
      <c r="A25" s="1">
        <v>19</v>
      </c>
      <c r="B25" s="5" t="str">
        <f>CONCATENATE(C25,"00",LEFT(E25,3),"-",D25)</f>
        <v>AN00250-1</v>
      </c>
      <c r="C25" s="5" t="str">
        <f>VLOOKUP(G25,'KODE ITEM'!B6:C56,2,FALSE)</f>
        <v>AN</v>
      </c>
      <c r="D25" s="5">
        <f t="shared" si="2"/>
        <v>1</v>
      </c>
      <c r="E25" s="5" t="s">
        <v>84</v>
      </c>
      <c r="F25" s="33" t="s">
        <v>66</v>
      </c>
      <c r="G25" s="38" t="s">
        <v>9</v>
      </c>
      <c r="H25" s="40">
        <v>3000</v>
      </c>
      <c r="I25" s="41">
        <f>H25*I6</f>
        <v>330</v>
      </c>
      <c r="J25" s="41">
        <f>H25*J6</f>
        <v>900</v>
      </c>
      <c r="K25" s="41">
        <f t="shared" si="0"/>
        <v>4230</v>
      </c>
      <c r="L25" s="35">
        <v>120</v>
      </c>
      <c r="M25" s="42">
        <v>0</v>
      </c>
      <c r="N25" s="43">
        <f>SUMIF('DATABASE TRANSAKSI'!C:C,'BASED DATA'!G25,'DATABASE TRANSAKSI'!E:E)</f>
        <v>0</v>
      </c>
      <c r="O25" s="44">
        <f t="shared" si="3"/>
        <v>120</v>
      </c>
      <c r="R25">
        <f>ROWS(($C$1:C19))</f>
        <v>19</v>
      </c>
      <c r="S25" t="str">
        <f t="shared" si="1"/>
        <v/>
      </c>
    </row>
    <row r="26" spans="1:19" x14ac:dyDescent="0.25">
      <c r="A26" s="1">
        <v>20</v>
      </c>
      <c r="B26" s="5" t="str">
        <f>CONCATENATE(C26,"00",LEFT(E26,2),"-",D26)</f>
        <v>MK0014-2</v>
      </c>
      <c r="C26" s="5" t="str">
        <f>VLOOKUP(G26,'KODE ITEM'!B7:C57,2,FALSE)</f>
        <v>MK</v>
      </c>
      <c r="D26" s="5">
        <f t="shared" si="2"/>
        <v>2</v>
      </c>
      <c r="E26" s="5" t="s">
        <v>85</v>
      </c>
      <c r="F26" s="33" t="s">
        <v>66</v>
      </c>
      <c r="G26" s="38" t="s">
        <v>21</v>
      </c>
      <c r="H26" s="40">
        <v>2000</v>
      </c>
      <c r="I26" s="41">
        <f>H26*I6</f>
        <v>220</v>
      </c>
      <c r="J26" s="41">
        <f>H26*J6</f>
        <v>600</v>
      </c>
      <c r="K26" s="41">
        <f t="shared" si="0"/>
        <v>2820</v>
      </c>
      <c r="L26" s="35">
        <v>120</v>
      </c>
      <c r="M26" s="42">
        <v>0</v>
      </c>
      <c r="N26" s="43">
        <f>SUMIF('DATABASE TRANSAKSI'!C:C,'BASED DATA'!G26,'DATABASE TRANSAKSI'!E:E)</f>
        <v>0</v>
      </c>
      <c r="O26" s="44">
        <f t="shared" si="3"/>
        <v>120</v>
      </c>
      <c r="R26">
        <f>ROWS(($C$1:C20))</f>
        <v>20</v>
      </c>
      <c r="S26" t="str">
        <f t="shared" si="1"/>
        <v/>
      </c>
    </row>
    <row r="27" spans="1:19" x14ac:dyDescent="0.25">
      <c r="A27" s="1">
        <v>21</v>
      </c>
      <c r="B27" s="5" t="str">
        <f>CONCATENATE(C27,"00",LEFT(E27,3),"-",D27)</f>
        <v>SM00100-1</v>
      </c>
      <c r="C27" s="5" t="str">
        <f>VLOOKUP(G27,'KODE ITEM'!B8:C58,2,FALSE)</f>
        <v>SM</v>
      </c>
      <c r="D27" s="5">
        <f t="shared" si="2"/>
        <v>1</v>
      </c>
      <c r="E27" s="5" t="s">
        <v>74</v>
      </c>
      <c r="F27" s="33" t="s">
        <v>67</v>
      </c>
      <c r="G27" s="38" t="s">
        <v>22</v>
      </c>
      <c r="H27" s="40">
        <v>4000</v>
      </c>
      <c r="I27" s="41">
        <f>H27*I6</f>
        <v>440</v>
      </c>
      <c r="J27" s="41">
        <f>H27*J6</f>
        <v>1200</v>
      </c>
      <c r="K27" s="41">
        <f t="shared" si="0"/>
        <v>5640</v>
      </c>
      <c r="L27" s="35">
        <v>216</v>
      </c>
      <c r="M27" s="42">
        <v>0</v>
      </c>
      <c r="N27" s="43">
        <f>SUMIF('DATABASE TRANSAKSI'!C:C,'BASED DATA'!G27,'DATABASE TRANSAKSI'!E:E)</f>
        <v>0</v>
      </c>
      <c r="O27" s="44">
        <f t="shared" si="3"/>
        <v>216</v>
      </c>
      <c r="R27">
        <f>ROWS(($C$1:C21))</f>
        <v>21</v>
      </c>
      <c r="S27" t="str">
        <f t="shared" si="1"/>
        <v/>
      </c>
    </row>
    <row r="28" spans="1:19" x14ac:dyDescent="0.25">
      <c r="A28" s="1">
        <v>22</v>
      </c>
      <c r="B28" s="5" t="str">
        <f>CONCATENATE(C28,"00",LEFT(E28,3),"-",D28)</f>
        <v>SO00200-2</v>
      </c>
      <c r="C28" s="5" t="str">
        <f>VLOOKUP(G28,'KODE ITEM'!B9:C59,2,FALSE)</f>
        <v>SO</v>
      </c>
      <c r="D28" s="5">
        <f t="shared" si="2"/>
        <v>2</v>
      </c>
      <c r="E28" s="5" t="s">
        <v>76</v>
      </c>
      <c r="F28" s="33" t="s">
        <v>67</v>
      </c>
      <c r="G28" s="38" t="s">
        <v>23</v>
      </c>
      <c r="H28" s="40">
        <v>8000</v>
      </c>
      <c r="I28" s="41">
        <f>H28*I6</f>
        <v>880</v>
      </c>
      <c r="J28" s="41">
        <f>H28*J6</f>
        <v>2400</v>
      </c>
      <c r="K28" s="41">
        <f t="shared" si="0"/>
        <v>11280</v>
      </c>
      <c r="L28" s="35">
        <v>55</v>
      </c>
      <c r="M28" s="42">
        <v>0</v>
      </c>
      <c r="N28" s="43">
        <f>SUMIF('DATABASE TRANSAKSI'!C:C,'BASED DATA'!G28,'DATABASE TRANSAKSI'!E:E)</f>
        <v>0</v>
      </c>
      <c r="O28" s="44">
        <f t="shared" si="3"/>
        <v>55</v>
      </c>
      <c r="R28">
        <f>ROWS(($C$1:C22))</f>
        <v>22</v>
      </c>
      <c r="S28" t="str">
        <f t="shared" si="1"/>
        <v/>
      </c>
    </row>
    <row r="29" spans="1:19" x14ac:dyDescent="0.25">
      <c r="A29" s="1">
        <v>23</v>
      </c>
      <c r="B29" s="5" t="str">
        <f>CONCATENATE(C29,"00",LEFT(E29,3),"-",D29)</f>
        <v>PG00100-3</v>
      </c>
      <c r="C29" s="5" t="str">
        <f>VLOOKUP(G29,'KODE ITEM'!B10:C60,2,FALSE)</f>
        <v>PG</v>
      </c>
      <c r="D29" s="5">
        <f t="shared" si="2"/>
        <v>3</v>
      </c>
      <c r="E29" s="5" t="s">
        <v>74</v>
      </c>
      <c r="F29" s="33" t="s">
        <v>67</v>
      </c>
      <c r="G29" s="38" t="s">
        <v>24</v>
      </c>
      <c r="H29" s="40">
        <v>5500</v>
      </c>
      <c r="I29" s="41">
        <f>H29*I6</f>
        <v>605</v>
      </c>
      <c r="J29" s="41">
        <f>H29*J6</f>
        <v>1650</v>
      </c>
      <c r="K29" s="41">
        <f t="shared" si="0"/>
        <v>7755</v>
      </c>
      <c r="L29" s="35">
        <v>80</v>
      </c>
      <c r="M29" s="42">
        <v>0</v>
      </c>
      <c r="N29" s="43">
        <f>SUMIF('DATABASE TRANSAKSI'!C:C,'BASED DATA'!G29,'DATABASE TRANSAKSI'!E:E)</f>
        <v>0</v>
      </c>
      <c r="O29" s="44">
        <f t="shared" si="3"/>
        <v>80</v>
      </c>
      <c r="R29">
        <f>ROWS(($C$1:C23))</f>
        <v>23</v>
      </c>
      <c r="S29" t="str">
        <f t="shared" si="1"/>
        <v/>
      </c>
    </row>
    <row r="30" spans="1:19" x14ac:dyDescent="0.25">
      <c r="A30" s="1">
        <v>24</v>
      </c>
      <c r="B30" s="5" t="str">
        <f>CONCATENATE(C30,"00",LEFT(E30,1),"-",D30)</f>
        <v>SG001-4</v>
      </c>
      <c r="C30" s="5" t="str">
        <f>VLOOKUP(G30,'KODE ITEM'!B11:C61,2,FALSE)</f>
        <v>SG</v>
      </c>
      <c r="D30" s="5">
        <f t="shared" si="2"/>
        <v>4</v>
      </c>
      <c r="E30" s="5" t="s">
        <v>57</v>
      </c>
      <c r="F30" s="33" t="s">
        <v>67</v>
      </c>
      <c r="G30" s="38" t="s">
        <v>25</v>
      </c>
      <c r="H30" s="40">
        <v>5000</v>
      </c>
      <c r="I30" s="41">
        <f>H30*I6</f>
        <v>550</v>
      </c>
      <c r="J30" s="41">
        <f>H30*J6</f>
        <v>1500</v>
      </c>
      <c r="K30" s="41">
        <f t="shared" si="0"/>
        <v>7050</v>
      </c>
      <c r="L30" s="35">
        <v>100</v>
      </c>
      <c r="M30" s="42">
        <v>0</v>
      </c>
      <c r="N30" s="43">
        <f>SUMIF('DATABASE TRANSAKSI'!C:C,'BASED DATA'!G30,'DATABASE TRANSAKSI'!E:E)</f>
        <v>0</v>
      </c>
      <c r="O30" s="44">
        <f t="shared" si="3"/>
        <v>100</v>
      </c>
      <c r="R30">
        <f>ROWS(($C$1:C24))</f>
        <v>24</v>
      </c>
      <c r="S30" t="str">
        <f t="shared" si="1"/>
        <v/>
      </c>
    </row>
    <row r="31" spans="1:19" x14ac:dyDescent="0.25">
      <c r="A31" s="1">
        <v>25</v>
      </c>
      <c r="B31" s="5" t="str">
        <f>CONCATENATE(C31,"00",LEFT(E31,2),"-",D31)</f>
        <v>SB0050-5</v>
      </c>
      <c r="C31" s="5" t="str">
        <f>VLOOKUP(G31,'KODE ITEM'!B12:C62,2,FALSE)</f>
        <v>SB</v>
      </c>
      <c r="D31" s="5">
        <f t="shared" si="2"/>
        <v>5</v>
      </c>
      <c r="E31" s="5" t="s">
        <v>71</v>
      </c>
      <c r="F31" s="33" t="s">
        <v>67</v>
      </c>
      <c r="G31" s="38" t="s">
        <v>26</v>
      </c>
      <c r="H31" s="40">
        <v>3500</v>
      </c>
      <c r="I31" s="41">
        <f>H31*I6</f>
        <v>385</v>
      </c>
      <c r="J31" s="41">
        <f>H31*J6</f>
        <v>1050</v>
      </c>
      <c r="K31" s="41">
        <f t="shared" si="0"/>
        <v>4935</v>
      </c>
      <c r="L31" s="35">
        <v>60</v>
      </c>
      <c r="M31" s="42">
        <v>0</v>
      </c>
      <c r="N31" s="43">
        <f>SUMIF('DATABASE TRANSAKSI'!C:C,'BASED DATA'!G31,'DATABASE TRANSAKSI'!E:E)</f>
        <v>0</v>
      </c>
      <c r="O31" s="44">
        <f t="shared" si="3"/>
        <v>60</v>
      </c>
      <c r="R31">
        <f>ROWS(($C$1:C25))</f>
        <v>25</v>
      </c>
      <c r="S31" t="str">
        <f t="shared" si="1"/>
        <v/>
      </c>
    </row>
    <row r="32" spans="1:19" x14ac:dyDescent="0.25">
      <c r="A32" s="1">
        <v>26</v>
      </c>
      <c r="B32" s="5" t="str">
        <f>CONCATENATE(C32,"00",LEFT(E32,2),"-",D32)</f>
        <v>DN0050-1</v>
      </c>
      <c r="C32" s="5" t="str">
        <f>VLOOKUP(G32,'KODE ITEM'!B13:C63,2,FALSE)</f>
        <v>DN</v>
      </c>
      <c r="D32" s="5">
        <f t="shared" si="2"/>
        <v>1</v>
      </c>
      <c r="E32" s="5" t="s">
        <v>86</v>
      </c>
      <c r="F32" s="33" t="s">
        <v>68</v>
      </c>
      <c r="G32" s="38" t="s">
        <v>27</v>
      </c>
      <c r="H32" s="40">
        <v>8000</v>
      </c>
      <c r="I32" s="41">
        <f>H32*I6</f>
        <v>880</v>
      </c>
      <c r="J32" s="41">
        <f>H32*J6</f>
        <v>2400</v>
      </c>
      <c r="K32" s="41">
        <f t="shared" si="0"/>
        <v>11280</v>
      </c>
      <c r="L32" s="35">
        <v>70</v>
      </c>
      <c r="M32" s="42">
        <v>0</v>
      </c>
      <c r="N32" s="43">
        <f>SUMIF('DATABASE TRANSAKSI'!C:C,'BASED DATA'!G32,'DATABASE TRANSAKSI'!E:E)</f>
        <v>0</v>
      </c>
      <c r="O32" s="44">
        <f t="shared" si="3"/>
        <v>70</v>
      </c>
      <c r="R32">
        <f>ROWS(($C$1:C26))</f>
        <v>26</v>
      </c>
      <c r="S32" t="str">
        <f t="shared" si="1"/>
        <v/>
      </c>
    </row>
    <row r="33" spans="1:19" x14ac:dyDescent="0.25">
      <c r="A33" s="1">
        <v>27</v>
      </c>
      <c r="B33" s="5" t="str">
        <f>CONCATENATE(C33,"00",LEFT(E33,1),"-",D33)</f>
        <v>BK005-2</v>
      </c>
      <c r="C33" s="5" t="str">
        <f>VLOOKUP(G33,'KODE ITEM'!B14:C64,2,FALSE)</f>
        <v>BK</v>
      </c>
      <c r="D33" s="5">
        <f t="shared" si="2"/>
        <v>2</v>
      </c>
      <c r="E33" s="5" t="s">
        <v>83</v>
      </c>
      <c r="F33" s="33" t="s">
        <v>68</v>
      </c>
      <c r="G33" s="38" t="s">
        <v>28</v>
      </c>
      <c r="H33" s="40">
        <v>6000</v>
      </c>
      <c r="I33" s="41">
        <f>H33*I6</f>
        <v>660</v>
      </c>
      <c r="J33" s="41">
        <f>H33*J6</f>
        <v>1800</v>
      </c>
      <c r="K33" s="41">
        <f t="shared" si="0"/>
        <v>8460</v>
      </c>
      <c r="L33" s="35">
        <v>45</v>
      </c>
      <c r="M33" s="42">
        <v>0</v>
      </c>
      <c r="N33" s="43">
        <f>SUMIF('DATABASE TRANSAKSI'!C:C,'BASED DATA'!G33,'DATABASE TRANSAKSI'!E:E)</f>
        <v>0</v>
      </c>
      <c r="O33" s="44">
        <f t="shared" si="3"/>
        <v>45</v>
      </c>
      <c r="R33">
        <f>ROWS(($C$1:C27))</f>
        <v>27</v>
      </c>
      <c r="S33" t="str">
        <f t="shared" si="1"/>
        <v/>
      </c>
    </row>
    <row r="34" spans="1:19" x14ac:dyDescent="0.25">
      <c r="A34" s="1">
        <v>28</v>
      </c>
      <c r="B34" s="5" t="str">
        <f>CONCATENATE(C34,"00",LEFT(E34,3),"-",D34)</f>
        <v>KS00100-3</v>
      </c>
      <c r="C34" s="5" t="str">
        <f>VLOOKUP(G34,'KODE ITEM'!B15:C65,2,FALSE)</f>
        <v>KS</v>
      </c>
      <c r="D34" s="5">
        <f t="shared" si="2"/>
        <v>3</v>
      </c>
      <c r="E34" s="5" t="s">
        <v>74</v>
      </c>
      <c r="F34" s="33" t="s">
        <v>68</v>
      </c>
      <c r="G34" s="38" t="s">
        <v>29</v>
      </c>
      <c r="H34" s="40">
        <v>6000</v>
      </c>
      <c r="I34" s="41">
        <f>H34*I6</f>
        <v>660</v>
      </c>
      <c r="J34" s="41">
        <f>H34*J6</f>
        <v>1800</v>
      </c>
      <c r="K34" s="41">
        <f t="shared" si="0"/>
        <v>8460</v>
      </c>
      <c r="L34" s="35">
        <v>65</v>
      </c>
      <c r="M34" s="42">
        <v>0</v>
      </c>
      <c r="N34" s="43">
        <f>SUMIF('DATABASE TRANSAKSI'!C:C,'BASED DATA'!G34,'DATABASE TRANSAKSI'!E:E)</f>
        <v>0</v>
      </c>
      <c r="O34" s="44">
        <f t="shared" si="3"/>
        <v>65</v>
      </c>
      <c r="R34">
        <f>ROWS(($C$1:C28))</f>
        <v>28</v>
      </c>
      <c r="S34" t="str">
        <f t="shared" si="1"/>
        <v/>
      </c>
    </row>
    <row r="35" spans="1:19" x14ac:dyDescent="0.25">
      <c r="A35" s="1">
        <v>29</v>
      </c>
      <c r="B35" s="5" t="str">
        <f>CONCATENATE(C35,"00",LEFT(E35,2),"-",D35)</f>
        <v>PW0012-4</v>
      </c>
      <c r="C35" s="5" t="str">
        <f>VLOOKUP(G35,'KODE ITEM'!B16:C66,2,FALSE)</f>
        <v>PW</v>
      </c>
      <c r="D35" s="5">
        <f t="shared" si="2"/>
        <v>4</v>
      </c>
      <c r="E35" s="5" t="s">
        <v>87</v>
      </c>
      <c r="F35" s="33" t="s">
        <v>68</v>
      </c>
      <c r="G35" s="38" t="s">
        <v>30</v>
      </c>
      <c r="H35" s="40">
        <v>9000</v>
      </c>
      <c r="I35" s="41">
        <f>H35*I6</f>
        <v>990</v>
      </c>
      <c r="J35" s="41">
        <f>H35*J6</f>
        <v>2700</v>
      </c>
      <c r="K35" s="41">
        <f t="shared" si="0"/>
        <v>12690</v>
      </c>
      <c r="L35" s="35">
        <v>80</v>
      </c>
      <c r="M35" s="42">
        <v>0</v>
      </c>
      <c r="N35" s="43">
        <f>SUMIF('DATABASE TRANSAKSI'!C:C,'BASED DATA'!G35,'DATABASE TRANSAKSI'!E:E)</f>
        <v>0</v>
      </c>
      <c r="O35" s="44">
        <f t="shared" si="3"/>
        <v>80</v>
      </c>
      <c r="R35">
        <f>ROWS(($C$1:C29))</f>
        <v>29</v>
      </c>
      <c r="S35" t="str">
        <f t="shared" si="1"/>
        <v/>
      </c>
    </row>
    <row r="36" spans="1:19" x14ac:dyDescent="0.25">
      <c r="A36" s="1">
        <v>30</v>
      </c>
      <c r="B36" s="5" t="str">
        <f>CONCATENATE(C36,"00",LEFT(E36,2),"-",D36)</f>
        <v>TE0050-5</v>
      </c>
      <c r="C36" s="5" t="str">
        <f>VLOOKUP(G36,'KODE ITEM'!B17:C67,2,FALSE)</f>
        <v>TE</v>
      </c>
      <c r="D36" s="5">
        <f t="shared" si="2"/>
        <v>5</v>
      </c>
      <c r="E36" s="5" t="s">
        <v>88</v>
      </c>
      <c r="F36" s="33" t="s">
        <v>68</v>
      </c>
      <c r="G36" s="38" t="s">
        <v>31</v>
      </c>
      <c r="H36" s="40">
        <v>5000</v>
      </c>
      <c r="I36" s="41">
        <f>H36*I6</f>
        <v>550</v>
      </c>
      <c r="J36" s="41">
        <f>H36*J6</f>
        <v>1500</v>
      </c>
      <c r="K36" s="41">
        <f t="shared" si="0"/>
        <v>7050</v>
      </c>
      <c r="L36" s="35">
        <v>100</v>
      </c>
      <c r="M36" s="42">
        <v>0</v>
      </c>
      <c r="N36" s="43">
        <f>SUMIF('DATABASE TRANSAKSI'!C:C,'BASED DATA'!G36,'DATABASE TRANSAKSI'!E:E)</f>
        <v>0</v>
      </c>
      <c r="O36" s="44">
        <f t="shared" si="3"/>
        <v>100</v>
      </c>
      <c r="R36">
        <f>ROWS(($C$1:C30))</f>
        <v>30</v>
      </c>
      <c r="S36" t="str">
        <f t="shared" si="1"/>
        <v/>
      </c>
    </row>
    <row r="37" spans="1:19" x14ac:dyDescent="0.25">
      <c r="A37" s="1">
        <v>31</v>
      </c>
      <c r="B37" s="5" t="str">
        <f>CONCATENATE(C37,"00",LEFT(E37,3),"-",D37)</f>
        <v>DB00500-1</v>
      </c>
      <c r="C37" s="5" t="str">
        <f>VLOOKUP(G37,'KODE ITEM'!B18:C68,2,FALSE)</f>
        <v>DB</v>
      </c>
      <c r="D37" s="5">
        <f t="shared" si="2"/>
        <v>1</v>
      </c>
      <c r="E37" s="5" t="s">
        <v>79</v>
      </c>
      <c r="F37" s="33" t="s">
        <v>32</v>
      </c>
      <c r="G37" s="38" t="s">
        <v>33</v>
      </c>
      <c r="H37" s="40">
        <v>5000</v>
      </c>
      <c r="I37" s="41">
        <f>H37*I6</f>
        <v>550</v>
      </c>
      <c r="J37" s="41">
        <f>H37*J6</f>
        <v>1500</v>
      </c>
      <c r="K37" s="41">
        <f t="shared" si="0"/>
        <v>7050</v>
      </c>
      <c r="L37" s="35">
        <v>40</v>
      </c>
      <c r="M37" s="42">
        <v>0</v>
      </c>
      <c r="N37" s="43">
        <f>SUMIF('DATABASE TRANSAKSI'!C:C,'BASED DATA'!G37,'DATABASE TRANSAKSI'!E:E)</f>
        <v>0</v>
      </c>
      <c r="O37" s="44">
        <f t="shared" si="3"/>
        <v>40</v>
      </c>
      <c r="R37">
        <f>ROWS(($C$1:C31))</f>
        <v>31</v>
      </c>
      <c r="S37" t="str">
        <f t="shared" si="1"/>
        <v/>
      </c>
    </row>
    <row r="38" spans="1:19" x14ac:dyDescent="0.25">
      <c r="A38" s="1">
        <v>32</v>
      </c>
      <c r="B38" s="5" t="str">
        <f>CONCATENATE(C38,"00",LEFT(E38,3),"-",D38)</f>
        <v>SP00500-2</v>
      </c>
      <c r="C38" s="5" t="str">
        <f>VLOOKUP(G38,'KODE ITEM'!B19:C69,2,FALSE)</f>
        <v>SP</v>
      </c>
      <c r="D38" s="5">
        <f t="shared" si="2"/>
        <v>2</v>
      </c>
      <c r="E38" s="5" t="s">
        <v>80</v>
      </c>
      <c r="F38" s="33" t="s">
        <v>32</v>
      </c>
      <c r="G38" s="38" t="s">
        <v>34</v>
      </c>
      <c r="H38" s="40">
        <v>5000</v>
      </c>
      <c r="I38" s="41">
        <f>H38*I6</f>
        <v>550</v>
      </c>
      <c r="J38" s="41">
        <f>H38*J6</f>
        <v>1500</v>
      </c>
      <c r="K38" s="41">
        <f t="shared" si="0"/>
        <v>7050</v>
      </c>
      <c r="L38" s="35">
        <v>45</v>
      </c>
      <c r="M38" s="42">
        <v>0</v>
      </c>
      <c r="N38" s="43">
        <f>SUMIF('DATABASE TRANSAKSI'!C:C,'BASED DATA'!G38,'DATABASE TRANSAKSI'!E:E)</f>
        <v>0</v>
      </c>
      <c r="O38" s="44">
        <f t="shared" si="3"/>
        <v>45</v>
      </c>
      <c r="R38">
        <f>ROWS(($C$1:C32))</f>
        <v>32</v>
      </c>
      <c r="S38" t="str">
        <f t="shared" si="1"/>
        <v/>
      </c>
    </row>
    <row r="39" spans="1:19" x14ac:dyDescent="0.25">
      <c r="A39" s="1">
        <v>33</v>
      </c>
      <c r="B39" s="5" t="str">
        <f>CONCATENATE(C39,"00",LEFT(E39,1),"-",D39)</f>
        <v>PL001-3</v>
      </c>
      <c r="C39" s="5" t="str">
        <f>VLOOKUP(G39,'KODE ITEM'!B20:C70,2,FALSE)</f>
        <v>PL</v>
      </c>
      <c r="D39" s="5">
        <f t="shared" si="2"/>
        <v>3</v>
      </c>
      <c r="E39" s="5" t="s">
        <v>56</v>
      </c>
      <c r="F39" s="33" t="s">
        <v>32</v>
      </c>
      <c r="G39" s="38" t="s">
        <v>35</v>
      </c>
      <c r="H39" s="40">
        <v>10000</v>
      </c>
      <c r="I39" s="41">
        <f>H39*I6</f>
        <v>1100</v>
      </c>
      <c r="J39" s="41">
        <f>H39*J6</f>
        <v>3000</v>
      </c>
      <c r="K39" s="41">
        <f t="shared" si="0"/>
        <v>14100</v>
      </c>
      <c r="L39" s="35">
        <v>50</v>
      </c>
      <c r="M39" s="42">
        <v>0</v>
      </c>
      <c r="N39" s="43">
        <f>SUMIF('DATABASE TRANSAKSI'!C:C,'BASED DATA'!G39,'DATABASE TRANSAKSI'!E:E)</f>
        <v>0</v>
      </c>
      <c r="O39" s="44">
        <f t="shared" si="3"/>
        <v>50</v>
      </c>
      <c r="R39">
        <f>ROWS(($C$1:C33))</f>
        <v>33</v>
      </c>
      <c r="S39" t="str">
        <f t="shared" ref="S39:S56" si="5">IF(OR(CARI=B39,CARI=C39,CARI=D39,CARI=E39,CARI=F39,CARI=G39),R39,"")</f>
        <v/>
      </c>
    </row>
    <row r="40" spans="1:19" x14ac:dyDescent="0.25">
      <c r="A40" s="1">
        <v>34</v>
      </c>
      <c r="B40" s="5" t="str">
        <f>CONCATENATE(C40,"00",LEFT(E40,3),"-",D40)</f>
        <v>PP00500-4</v>
      </c>
      <c r="C40" s="5" t="str">
        <f>VLOOKUP(G40,'KODE ITEM'!B21:C71,2,FALSE)</f>
        <v>PP</v>
      </c>
      <c r="D40" s="5">
        <f t="shared" si="2"/>
        <v>4</v>
      </c>
      <c r="E40" s="5" t="s">
        <v>80</v>
      </c>
      <c r="F40" s="33" t="s">
        <v>32</v>
      </c>
      <c r="G40" s="38" t="s">
        <v>36</v>
      </c>
      <c r="H40" s="40">
        <v>8000</v>
      </c>
      <c r="I40" s="41">
        <f>H40*I6</f>
        <v>880</v>
      </c>
      <c r="J40" s="41">
        <f>H40*J6</f>
        <v>2400</v>
      </c>
      <c r="K40" s="41">
        <f t="shared" si="0"/>
        <v>11280</v>
      </c>
      <c r="L40" s="35">
        <v>100</v>
      </c>
      <c r="M40" s="42">
        <v>0</v>
      </c>
      <c r="N40" s="43">
        <f>SUMIF('DATABASE TRANSAKSI'!C:C,'BASED DATA'!G40,'DATABASE TRANSAKSI'!E:E)</f>
        <v>0</v>
      </c>
      <c r="O40" s="44">
        <f t="shared" si="3"/>
        <v>100</v>
      </c>
      <c r="R40">
        <f>ROWS(($C$1:C34))</f>
        <v>34</v>
      </c>
      <c r="S40" t="str">
        <f t="shared" si="5"/>
        <v/>
      </c>
    </row>
    <row r="41" spans="1:19" x14ac:dyDescent="0.25">
      <c r="A41" s="1">
        <v>35</v>
      </c>
      <c r="B41" s="5" t="str">
        <f>CONCATENATE(C41,"00",LEFT(E41,1),"-",D41)</f>
        <v>SL001-5</v>
      </c>
      <c r="C41" s="5" t="str">
        <f>VLOOKUP(G41,'KODE ITEM'!B22:C72,2,FALSE)</f>
        <v>SL</v>
      </c>
      <c r="D41" s="5">
        <f t="shared" si="2"/>
        <v>5</v>
      </c>
      <c r="E41" s="5" t="s">
        <v>57</v>
      </c>
      <c r="F41" s="33" t="s">
        <v>32</v>
      </c>
      <c r="G41" s="38" t="s">
        <v>37</v>
      </c>
      <c r="H41" s="40">
        <v>3000</v>
      </c>
      <c r="I41" s="41">
        <f>H41*I6</f>
        <v>330</v>
      </c>
      <c r="J41" s="41">
        <f>H41*J6</f>
        <v>900</v>
      </c>
      <c r="K41" s="41">
        <f t="shared" si="0"/>
        <v>4230</v>
      </c>
      <c r="L41" s="35">
        <v>95</v>
      </c>
      <c r="M41" s="42">
        <v>0</v>
      </c>
      <c r="N41" s="43">
        <f>SUMIF('DATABASE TRANSAKSI'!C:C,'BASED DATA'!G41,'DATABASE TRANSAKSI'!E:E)</f>
        <v>0</v>
      </c>
      <c r="O41" s="44">
        <f t="shared" si="3"/>
        <v>95</v>
      </c>
      <c r="R41">
        <f>ROWS(($C$1:C35))</f>
        <v>35</v>
      </c>
      <c r="S41" t="str">
        <f t="shared" si="5"/>
        <v/>
      </c>
    </row>
    <row r="42" spans="1:19" x14ac:dyDescent="0.25">
      <c r="A42" s="1">
        <v>36</v>
      </c>
      <c r="B42" s="5" t="str">
        <f>CONCATENATE(C42,"00",LEFT(E42,1),"-",D42)</f>
        <v>GK001-6</v>
      </c>
      <c r="C42" s="5" t="str">
        <f>VLOOKUP(G42,'KODE ITEM'!B23:C73,2,FALSE)</f>
        <v>GK</v>
      </c>
      <c r="D42" s="5">
        <f t="shared" si="2"/>
        <v>6</v>
      </c>
      <c r="E42" s="5" t="s">
        <v>57</v>
      </c>
      <c r="F42" s="33" t="s">
        <v>32</v>
      </c>
      <c r="G42" s="38" t="s">
        <v>38</v>
      </c>
      <c r="H42" s="40">
        <v>15000</v>
      </c>
      <c r="I42" s="41">
        <f>H42*I6</f>
        <v>1650</v>
      </c>
      <c r="J42" s="41">
        <f>H42*J6</f>
        <v>4500</v>
      </c>
      <c r="K42" s="41">
        <f t="shared" si="0"/>
        <v>21150</v>
      </c>
      <c r="L42" s="35">
        <v>50</v>
      </c>
      <c r="M42" s="42">
        <v>0</v>
      </c>
      <c r="N42" s="43">
        <f>SUMIF('DATABASE TRANSAKSI'!C:C,'BASED DATA'!G42,'DATABASE TRANSAKSI'!E:E)</f>
        <v>0</v>
      </c>
      <c r="O42" s="44">
        <f t="shared" si="3"/>
        <v>50</v>
      </c>
      <c r="R42">
        <f>ROWS(($C$1:C36))</f>
        <v>36</v>
      </c>
      <c r="S42" t="str">
        <f t="shared" si="5"/>
        <v/>
      </c>
    </row>
    <row r="43" spans="1:19" x14ac:dyDescent="0.25">
      <c r="A43" s="1">
        <v>37</v>
      </c>
      <c r="B43" s="5" t="str">
        <f>CONCATENATE(C43,"00",LEFT(E43,2),"-",D43)</f>
        <v>TI0010-7</v>
      </c>
      <c r="C43" s="5" t="str">
        <f>VLOOKUP(G43,'KODE ITEM'!B24:C74,2,FALSE)</f>
        <v>TI</v>
      </c>
      <c r="D43" s="5">
        <f t="shared" si="2"/>
        <v>7</v>
      </c>
      <c r="E43" s="5" t="s">
        <v>89</v>
      </c>
      <c r="F43" s="33" t="s">
        <v>32</v>
      </c>
      <c r="G43" s="38" t="s">
        <v>39</v>
      </c>
      <c r="H43" s="40">
        <v>12000</v>
      </c>
      <c r="I43" s="41">
        <f>H43*I6</f>
        <v>1320</v>
      </c>
      <c r="J43" s="41">
        <f>H43*J6</f>
        <v>3600</v>
      </c>
      <c r="K43" s="41">
        <f t="shared" si="0"/>
        <v>16920</v>
      </c>
      <c r="L43" s="35">
        <v>20</v>
      </c>
      <c r="M43" s="42">
        <v>0</v>
      </c>
      <c r="N43" s="43">
        <f>SUMIF('DATABASE TRANSAKSI'!C:C,'BASED DATA'!G43,'DATABASE TRANSAKSI'!E:E)</f>
        <v>0</v>
      </c>
      <c r="O43" s="44">
        <f t="shared" si="3"/>
        <v>20</v>
      </c>
      <c r="R43">
        <f>ROWS(($C$1:C37))</f>
        <v>37</v>
      </c>
      <c r="S43" t="str">
        <f t="shared" si="5"/>
        <v/>
      </c>
    </row>
    <row r="44" spans="1:19" x14ac:dyDescent="0.25">
      <c r="A44" s="1">
        <v>38</v>
      </c>
      <c r="B44" s="5" t="str">
        <f t="shared" ref="B44:B52" si="6">CONCATENATE(C44,"00",LEFT(E44,1),"-",D44)</f>
        <v>JB001-8</v>
      </c>
      <c r="C44" s="5" t="str">
        <f>VLOOKUP(G44,'KODE ITEM'!B25:C75,2,FALSE)</f>
        <v>JB</v>
      </c>
      <c r="D44" s="5">
        <f t="shared" si="2"/>
        <v>8</v>
      </c>
      <c r="E44" s="5" t="s">
        <v>59</v>
      </c>
      <c r="F44" s="33" t="s">
        <v>32</v>
      </c>
      <c r="G44" s="38" t="s">
        <v>40</v>
      </c>
      <c r="H44" s="40">
        <v>5000</v>
      </c>
      <c r="I44" s="41">
        <f>H44*I6</f>
        <v>550</v>
      </c>
      <c r="J44" s="41">
        <f>H44*J6</f>
        <v>1500</v>
      </c>
      <c r="K44" s="41">
        <f t="shared" si="0"/>
        <v>7050</v>
      </c>
      <c r="L44" s="35">
        <v>20</v>
      </c>
      <c r="M44" s="42">
        <v>0</v>
      </c>
      <c r="N44" s="43">
        <f>SUMIF('DATABASE TRANSAKSI'!C:C,'BASED DATA'!G44,'DATABASE TRANSAKSI'!E:E)</f>
        <v>0</v>
      </c>
      <c r="O44" s="44">
        <f t="shared" si="3"/>
        <v>20</v>
      </c>
      <c r="R44">
        <f>ROWS(($C$1:C38))</f>
        <v>38</v>
      </c>
      <c r="S44" t="str">
        <f t="shared" si="5"/>
        <v/>
      </c>
    </row>
    <row r="45" spans="1:19" x14ac:dyDescent="0.25">
      <c r="A45" s="1">
        <v>39</v>
      </c>
      <c r="B45" s="5" t="str">
        <f t="shared" si="6"/>
        <v>BI001-9</v>
      </c>
      <c r="C45" s="5" t="str">
        <f>VLOOKUP(G45,'KODE ITEM'!B26:C76,2,FALSE)</f>
        <v>BI</v>
      </c>
      <c r="D45" s="5">
        <f t="shared" si="2"/>
        <v>9</v>
      </c>
      <c r="E45" s="5" t="s">
        <v>57</v>
      </c>
      <c r="F45" s="33" t="s">
        <v>32</v>
      </c>
      <c r="G45" s="38" t="s">
        <v>41</v>
      </c>
      <c r="H45" s="40">
        <v>3000</v>
      </c>
      <c r="I45" s="41">
        <f>H45*I6</f>
        <v>330</v>
      </c>
      <c r="J45" s="41">
        <f>H45*J6</f>
        <v>900</v>
      </c>
      <c r="K45" s="41">
        <f t="shared" si="0"/>
        <v>4230</v>
      </c>
      <c r="L45" s="35">
        <v>10</v>
      </c>
      <c r="M45" s="42">
        <v>0</v>
      </c>
      <c r="N45" s="43">
        <f>SUMIF('DATABASE TRANSAKSI'!C:C,'BASED DATA'!G45,'DATABASE TRANSAKSI'!E:E)</f>
        <v>0</v>
      </c>
      <c r="O45" s="44">
        <f t="shared" si="3"/>
        <v>10</v>
      </c>
      <c r="R45">
        <f>ROWS(($C$1:C39))</f>
        <v>39</v>
      </c>
      <c r="S45" t="str">
        <f t="shared" si="5"/>
        <v/>
      </c>
    </row>
    <row r="46" spans="1:19" x14ac:dyDescent="0.25">
      <c r="A46" s="1">
        <v>40</v>
      </c>
      <c r="B46" s="5" t="str">
        <f t="shared" si="6"/>
        <v>LN001-10</v>
      </c>
      <c r="C46" s="5" t="str">
        <f>VLOOKUP(G46,'KODE ITEM'!B27:C77,2,FALSE)</f>
        <v>LN</v>
      </c>
      <c r="D46" s="5">
        <f t="shared" si="2"/>
        <v>10</v>
      </c>
      <c r="E46" s="5" t="s">
        <v>58</v>
      </c>
      <c r="F46" s="33" t="s">
        <v>32</v>
      </c>
      <c r="G46" s="38" t="s">
        <v>42</v>
      </c>
      <c r="H46" s="40">
        <v>2000</v>
      </c>
      <c r="I46" s="41">
        <f>H46*I6</f>
        <v>220</v>
      </c>
      <c r="J46" s="41">
        <f>H46*J6</f>
        <v>600</v>
      </c>
      <c r="K46" s="41">
        <f t="shared" si="0"/>
        <v>2820</v>
      </c>
      <c r="L46" s="35">
        <v>10</v>
      </c>
      <c r="M46" s="42">
        <v>0</v>
      </c>
      <c r="N46" s="43">
        <f>SUMIF('DATABASE TRANSAKSI'!C:C,'BASED DATA'!G46,'DATABASE TRANSAKSI'!E:E)</f>
        <v>0</v>
      </c>
      <c r="O46" s="44">
        <f t="shared" si="3"/>
        <v>10</v>
      </c>
      <c r="R46">
        <f>ROWS(($C$1:C40))</f>
        <v>40</v>
      </c>
      <c r="S46" t="str">
        <f t="shared" si="5"/>
        <v/>
      </c>
    </row>
    <row r="47" spans="1:19" x14ac:dyDescent="0.25">
      <c r="A47" s="1">
        <v>41</v>
      </c>
      <c r="B47" s="5" t="str">
        <f t="shared" si="6"/>
        <v>BS001-1</v>
      </c>
      <c r="C47" s="5" t="str">
        <f>VLOOKUP(G47,'KODE ITEM'!B28:C78,2,FALSE)</f>
        <v>BS</v>
      </c>
      <c r="D47" s="5">
        <f t="shared" si="2"/>
        <v>1</v>
      </c>
      <c r="E47" s="5" t="s">
        <v>57</v>
      </c>
      <c r="F47" s="33" t="s">
        <v>69</v>
      </c>
      <c r="G47" s="38" t="s">
        <v>43</v>
      </c>
      <c r="H47" s="40">
        <v>3500</v>
      </c>
      <c r="I47" s="41">
        <f>H47*I6</f>
        <v>385</v>
      </c>
      <c r="J47" s="41">
        <f>H47*J6</f>
        <v>1050</v>
      </c>
      <c r="K47" s="41">
        <f t="shared" si="0"/>
        <v>4935</v>
      </c>
      <c r="L47" s="35">
        <v>25</v>
      </c>
      <c r="M47" s="42">
        <v>0</v>
      </c>
      <c r="N47" s="43">
        <f>SUMIF('DATABASE TRANSAKSI'!C:C,'BASED DATA'!G47,'DATABASE TRANSAKSI'!E:E)</f>
        <v>0</v>
      </c>
      <c r="O47" s="44">
        <f t="shared" si="3"/>
        <v>25</v>
      </c>
      <c r="R47">
        <f>ROWS(($C$1:C41))</f>
        <v>41</v>
      </c>
      <c r="S47" t="str">
        <f t="shared" si="5"/>
        <v/>
      </c>
    </row>
    <row r="48" spans="1:19" x14ac:dyDescent="0.25">
      <c r="A48" s="1">
        <v>42</v>
      </c>
      <c r="B48" s="5" t="str">
        <f t="shared" si="6"/>
        <v>PU001-1</v>
      </c>
      <c r="C48" s="5" t="str">
        <f>VLOOKUP(G48,'KODE ITEM'!B29:C79,2,FALSE)</f>
        <v>PU</v>
      </c>
      <c r="D48" s="5">
        <f t="shared" si="2"/>
        <v>1</v>
      </c>
      <c r="E48" s="5" t="s">
        <v>57</v>
      </c>
      <c r="F48" s="33" t="s">
        <v>70</v>
      </c>
      <c r="G48" s="38" t="s">
        <v>44</v>
      </c>
      <c r="H48" s="40">
        <v>3000</v>
      </c>
      <c r="I48" s="41">
        <f>H48*I6</f>
        <v>330</v>
      </c>
      <c r="J48" s="41">
        <f>H48*J6</f>
        <v>900</v>
      </c>
      <c r="K48" s="41">
        <f t="shared" si="0"/>
        <v>4230</v>
      </c>
      <c r="L48" s="35">
        <v>20</v>
      </c>
      <c r="M48" s="42">
        <v>0</v>
      </c>
      <c r="N48" s="43">
        <f>SUMIF('DATABASE TRANSAKSI'!C:C,'BASED DATA'!G48,'DATABASE TRANSAKSI'!E:E)</f>
        <v>0</v>
      </c>
      <c r="O48" s="44">
        <f t="shared" si="3"/>
        <v>20</v>
      </c>
      <c r="R48">
        <f>ROWS(($C$1:C42))</f>
        <v>42</v>
      </c>
      <c r="S48" t="str">
        <f t="shared" si="5"/>
        <v/>
      </c>
    </row>
    <row r="49" spans="1:19" x14ac:dyDescent="0.25">
      <c r="A49" s="1">
        <v>43</v>
      </c>
      <c r="B49" s="5" t="str">
        <f t="shared" si="6"/>
        <v>PE001-2</v>
      </c>
      <c r="C49" s="5" t="str">
        <f>VLOOKUP(G49,'KODE ITEM'!B30:C80,2,FALSE)</f>
        <v>PE</v>
      </c>
      <c r="D49" s="5">
        <f t="shared" si="2"/>
        <v>2</v>
      </c>
      <c r="E49" s="5" t="s">
        <v>57</v>
      </c>
      <c r="F49" s="33" t="s">
        <v>70</v>
      </c>
      <c r="G49" s="38" t="s">
        <v>45</v>
      </c>
      <c r="H49" s="40">
        <v>2000</v>
      </c>
      <c r="I49" s="41">
        <f>H49*I6</f>
        <v>220</v>
      </c>
      <c r="J49" s="41">
        <f>H49*J6</f>
        <v>600</v>
      </c>
      <c r="K49" s="41">
        <f t="shared" si="0"/>
        <v>2820</v>
      </c>
      <c r="L49" s="35">
        <v>20</v>
      </c>
      <c r="M49" s="42">
        <v>0</v>
      </c>
      <c r="N49" s="43">
        <f>SUMIF('DATABASE TRANSAKSI'!C:C,'BASED DATA'!G49,'DATABASE TRANSAKSI'!E:E)</f>
        <v>0</v>
      </c>
      <c r="O49" s="44">
        <f t="shared" si="3"/>
        <v>20</v>
      </c>
      <c r="R49">
        <f>ROWS(($C$1:C43))</f>
        <v>43</v>
      </c>
      <c r="S49" t="str">
        <f t="shared" si="5"/>
        <v/>
      </c>
    </row>
    <row r="50" spans="1:19" x14ac:dyDescent="0.25">
      <c r="A50" s="1">
        <v>44</v>
      </c>
      <c r="B50" s="5" t="str">
        <f t="shared" si="6"/>
        <v>PR001-1</v>
      </c>
      <c r="C50" s="5" t="str">
        <f>VLOOKUP(G50,'KODE ITEM'!B31:C81,2,FALSE)</f>
        <v>PR</v>
      </c>
      <c r="D50" s="5">
        <f t="shared" si="2"/>
        <v>1</v>
      </c>
      <c r="E50" s="5" t="s">
        <v>57</v>
      </c>
      <c r="F50" s="33" t="s">
        <v>69</v>
      </c>
      <c r="G50" s="38" t="s">
        <v>46</v>
      </c>
      <c r="H50" s="40">
        <v>3000</v>
      </c>
      <c r="I50" s="41">
        <f>H50*I6</f>
        <v>330</v>
      </c>
      <c r="J50" s="41">
        <f>H50*J6</f>
        <v>900</v>
      </c>
      <c r="K50" s="41">
        <f t="shared" si="0"/>
        <v>4230</v>
      </c>
      <c r="L50" s="35">
        <v>20</v>
      </c>
      <c r="M50" s="42">
        <v>0</v>
      </c>
      <c r="N50" s="43">
        <f>SUMIF('DATABASE TRANSAKSI'!C:C,'BASED DATA'!G50,'DATABASE TRANSAKSI'!E:E)</f>
        <v>0</v>
      </c>
      <c r="O50" s="44">
        <f t="shared" si="3"/>
        <v>20</v>
      </c>
      <c r="R50">
        <f>ROWS(($C$1:C44))</f>
        <v>44</v>
      </c>
      <c r="S50" t="str">
        <f t="shared" si="5"/>
        <v/>
      </c>
    </row>
    <row r="51" spans="1:19" x14ac:dyDescent="0.25">
      <c r="A51" s="1">
        <v>45</v>
      </c>
      <c r="B51" s="5" t="str">
        <f t="shared" si="6"/>
        <v>PH001-2</v>
      </c>
      <c r="C51" s="5" t="str">
        <f>VLOOKUP(G51,'KODE ITEM'!B32:C82,2,FALSE)</f>
        <v>PH</v>
      </c>
      <c r="D51" s="5">
        <f t="shared" si="2"/>
        <v>2</v>
      </c>
      <c r="E51" s="5" t="s">
        <v>57</v>
      </c>
      <c r="F51" s="33" t="s">
        <v>69</v>
      </c>
      <c r="G51" s="38" t="s">
        <v>47</v>
      </c>
      <c r="H51" s="40">
        <v>1000</v>
      </c>
      <c r="I51" s="41">
        <f>H51*I6</f>
        <v>110</v>
      </c>
      <c r="J51" s="41">
        <f>H51*J6</f>
        <v>300</v>
      </c>
      <c r="K51" s="41">
        <f t="shared" si="0"/>
        <v>1410</v>
      </c>
      <c r="L51" s="35">
        <v>20</v>
      </c>
      <c r="M51" s="42">
        <v>0</v>
      </c>
      <c r="N51" s="43">
        <f>SUMIF('DATABASE TRANSAKSI'!C:C,'BASED DATA'!G51,'DATABASE TRANSAKSI'!E:E)</f>
        <v>0</v>
      </c>
      <c r="O51" s="44">
        <f t="shared" si="3"/>
        <v>20</v>
      </c>
      <c r="R51">
        <f>ROWS(($C$1:C45))</f>
        <v>45</v>
      </c>
      <c r="S51" t="str">
        <f t="shared" si="5"/>
        <v/>
      </c>
    </row>
    <row r="52" spans="1:19" x14ac:dyDescent="0.25">
      <c r="A52" s="8">
        <v>46</v>
      </c>
      <c r="B52" s="5" t="str">
        <f t="shared" si="6"/>
        <v>RN001-3</v>
      </c>
      <c r="C52" s="5" t="str">
        <f>VLOOKUP(G52,'KODE ITEM'!B33:C83,2,FALSE)</f>
        <v>RN</v>
      </c>
      <c r="D52" s="5">
        <f t="shared" si="2"/>
        <v>3</v>
      </c>
      <c r="E52" s="5" t="s">
        <v>57</v>
      </c>
      <c r="F52" s="33" t="s">
        <v>69</v>
      </c>
      <c r="G52" s="38" t="s">
        <v>48</v>
      </c>
      <c r="H52" s="40">
        <v>1000</v>
      </c>
      <c r="I52" s="41">
        <f>H52*I6</f>
        <v>110</v>
      </c>
      <c r="J52" s="41">
        <f>H52*J6</f>
        <v>300</v>
      </c>
      <c r="K52" s="41">
        <f t="shared" si="0"/>
        <v>1410</v>
      </c>
      <c r="L52" s="35">
        <v>20</v>
      </c>
      <c r="M52" s="42">
        <v>0</v>
      </c>
      <c r="N52" s="43">
        <f>SUMIF('DATABASE TRANSAKSI'!C:C,'BASED DATA'!G52,'DATABASE TRANSAKSI'!E:E)</f>
        <v>0</v>
      </c>
      <c r="O52" s="44">
        <f t="shared" si="3"/>
        <v>20</v>
      </c>
      <c r="R52">
        <f>ROWS(($C$1:C46))</f>
        <v>46</v>
      </c>
      <c r="S52" t="str">
        <f t="shared" si="5"/>
        <v/>
      </c>
    </row>
    <row r="53" spans="1:19" x14ac:dyDescent="0.25">
      <c r="A53" s="1">
        <v>47</v>
      </c>
      <c r="B53" s="5" t="str">
        <f>CONCATENATE(C53,"00",LEFT(E53,2),"-",D53)</f>
        <v>LM0015-4</v>
      </c>
      <c r="C53" s="5" t="str">
        <f>VLOOKUP(G53,'KODE ITEM'!B34:C84,2,FALSE)</f>
        <v>LM</v>
      </c>
      <c r="D53" s="5">
        <f t="shared" si="2"/>
        <v>4</v>
      </c>
      <c r="E53" s="5" t="s">
        <v>90</v>
      </c>
      <c r="F53" s="33" t="s">
        <v>69</v>
      </c>
      <c r="G53" s="38" t="s">
        <v>49</v>
      </c>
      <c r="H53" s="40">
        <v>5000</v>
      </c>
      <c r="I53" s="41">
        <f>H53*I6</f>
        <v>550</v>
      </c>
      <c r="J53" s="41">
        <f>H53*J6</f>
        <v>1500</v>
      </c>
      <c r="K53" s="41">
        <f t="shared" si="0"/>
        <v>7050</v>
      </c>
      <c r="L53" s="35">
        <v>25</v>
      </c>
      <c r="M53" s="42">
        <v>0</v>
      </c>
      <c r="N53" s="43">
        <f>SUMIF('DATABASE TRANSAKSI'!C:C,'BASED DATA'!G53,'DATABASE TRANSAKSI'!E:E)</f>
        <v>0</v>
      </c>
      <c r="O53" s="44">
        <f t="shared" si="3"/>
        <v>25</v>
      </c>
      <c r="R53">
        <f>ROWS(($C$1:C47))</f>
        <v>47</v>
      </c>
      <c r="S53" t="str">
        <f t="shared" si="5"/>
        <v/>
      </c>
    </row>
    <row r="54" spans="1:19" x14ac:dyDescent="0.25">
      <c r="A54" s="1">
        <v>48</v>
      </c>
      <c r="B54" s="5" t="str">
        <f>CONCATENATE(C54,"00",LEFT(E54,1),"-",D54)</f>
        <v>GG001-5</v>
      </c>
      <c r="C54" s="5" t="str">
        <f>VLOOKUP(G54,'KODE ITEM'!B35:C85,2,FALSE)</f>
        <v>GG</v>
      </c>
      <c r="D54" s="5">
        <f t="shared" si="2"/>
        <v>5</v>
      </c>
      <c r="E54" s="5" t="s">
        <v>57</v>
      </c>
      <c r="F54" s="33" t="s">
        <v>69</v>
      </c>
      <c r="G54" s="38" t="s">
        <v>50</v>
      </c>
      <c r="H54" s="40">
        <v>8000</v>
      </c>
      <c r="I54" s="41">
        <f>H54*I6</f>
        <v>880</v>
      </c>
      <c r="J54" s="41">
        <f>H54*J6</f>
        <v>2400</v>
      </c>
      <c r="K54" s="41">
        <f t="shared" si="0"/>
        <v>11280</v>
      </c>
      <c r="L54" s="35">
        <v>30</v>
      </c>
      <c r="M54" s="42">
        <v>0</v>
      </c>
      <c r="N54" s="43">
        <f>SUMIF('DATABASE TRANSAKSI'!C:C,'BASED DATA'!G54,'DATABASE TRANSAKSI'!E:E)</f>
        <v>0</v>
      </c>
      <c r="O54" s="44">
        <f t="shared" si="3"/>
        <v>30</v>
      </c>
      <c r="R54">
        <f>ROWS(($C$1:C48))</f>
        <v>48</v>
      </c>
      <c r="S54" t="str">
        <f t="shared" si="5"/>
        <v/>
      </c>
    </row>
    <row r="55" spans="1:19" x14ac:dyDescent="0.25">
      <c r="A55" s="1">
        <v>49</v>
      </c>
      <c r="B55" s="5" t="str">
        <f>CONCATENATE(C55,"00",LEFT(E55,1),"-",D55)</f>
        <v>KV001-6</v>
      </c>
      <c r="C55" s="5" t="str">
        <f>VLOOKUP(G55,'KODE ITEM'!B36:C86,2,FALSE)</f>
        <v>KV</v>
      </c>
      <c r="D55" s="5">
        <f t="shared" si="2"/>
        <v>6</v>
      </c>
      <c r="E55" s="5" t="s">
        <v>60</v>
      </c>
      <c r="F55" s="33" t="s">
        <v>69</v>
      </c>
      <c r="G55" s="38" t="s">
        <v>51</v>
      </c>
      <c r="H55" s="40">
        <v>1000</v>
      </c>
      <c r="I55" s="41">
        <f>H55*I6</f>
        <v>110</v>
      </c>
      <c r="J55" s="41">
        <f>H55*J6</f>
        <v>300</v>
      </c>
      <c r="K55" s="41">
        <f t="shared" si="0"/>
        <v>1410</v>
      </c>
      <c r="L55" s="35">
        <v>5</v>
      </c>
      <c r="M55" s="42">
        <v>0</v>
      </c>
      <c r="N55" s="43">
        <f>SUMIF('DATABASE TRANSAKSI'!C:C,'BASED DATA'!G55,'DATABASE TRANSAKSI'!E:E)</f>
        <v>0</v>
      </c>
      <c r="O55" s="44">
        <f t="shared" si="3"/>
        <v>5</v>
      </c>
      <c r="R55">
        <f>ROWS(($C$1:C49))</f>
        <v>49</v>
      </c>
      <c r="S55" t="str">
        <f t="shared" si="5"/>
        <v/>
      </c>
    </row>
    <row r="56" spans="1:19" x14ac:dyDescent="0.25">
      <c r="A56" s="1">
        <v>50</v>
      </c>
      <c r="B56" s="5" t="str">
        <f>CONCATENATE(C56,"00",LEFT(E56,1),"-",D56)</f>
        <v>LO001-7</v>
      </c>
      <c r="C56" s="5" t="str">
        <f>VLOOKUP(G56,'KODE ITEM'!B37:C87,2,FALSE)</f>
        <v>LO</v>
      </c>
      <c r="D56" s="5">
        <f t="shared" si="2"/>
        <v>7</v>
      </c>
      <c r="E56" s="5" t="s">
        <v>57</v>
      </c>
      <c r="F56" s="33" t="s">
        <v>69</v>
      </c>
      <c r="G56" s="38" t="s">
        <v>52</v>
      </c>
      <c r="H56" s="40">
        <v>3000</v>
      </c>
      <c r="I56" s="41">
        <f>H56*I6</f>
        <v>330</v>
      </c>
      <c r="J56" s="41">
        <f>H56*J6</f>
        <v>900</v>
      </c>
      <c r="K56" s="41">
        <f t="shared" si="0"/>
        <v>4230</v>
      </c>
      <c r="L56" s="35">
        <v>5</v>
      </c>
      <c r="M56" s="42">
        <v>0</v>
      </c>
      <c r="N56" s="43">
        <f>SUMIF('DATABASE TRANSAKSI'!C:C,'BASED DATA'!G56,'DATABASE TRANSAKSI'!E:E)</f>
        <v>0</v>
      </c>
      <c r="O56" s="44">
        <f t="shared" si="3"/>
        <v>5</v>
      </c>
      <c r="R56">
        <f>ROWS(($C$1:C50))</f>
        <v>50</v>
      </c>
      <c r="S56" t="str">
        <f t="shared" si="5"/>
        <v/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BASED DATA</vt:lpstr>
      <vt:lpstr>TRANSAKSI</vt:lpstr>
      <vt:lpstr>SUMBER CARI</vt:lpstr>
      <vt:lpstr>SEARCH</vt:lpstr>
      <vt:lpstr>LAPORAN</vt:lpstr>
      <vt:lpstr>DATABASE TRANSAKSI</vt:lpstr>
      <vt:lpstr>KODE ITEM</vt:lpstr>
      <vt:lpstr>CARI</vt:lpstr>
      <vt:lpstr>CARI</vt:lpstr>
      <vt:lpstr>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2025-02-05T06:47:52Z</dcterms:created>
  <dcterms:modified xsi:type="dcterms:W3CDTF">2025-07-30T08:30:17Z</dcterms:modified>
</cp:coreProperties>
</file>